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Z:\Rolemaster\"/>
    </mc:Choice>
  </mc:AlternateContent>
  <xr:revisionPtr revIDLastSave="0" documentId="13_ncr:1_{8753FBDB-860E-4C1F-B5FD-953393D18EE4}" xr6:coauthVersionLast="47" xr6:coauthVersionMax="47" xr10:uidLastSave="{00000000-0000-0000-0000-000000000000}"/>
  <bookViews>
    <workbookView xWindow="14175" yWindow="315" windowWidth="39945" windowHeight="20280" xr2:uid="{8F33FAE4-8B9D-4655-9C77-27E329EFE01B}"/>
  </bookViews>
  <sheets>
    <sheet name="Base Details" sheetId="5" r:id="rId1"/>
    <sheet name="Skill Workbook" sheetId="2" r:id="rId2"/>
    <sheet name="Main" sheetId="1" r:id="rId3"/>
    <sheet name="Skills" sheetId="7" r:id="rId4"/>
    <sheet name="Combat" sheetId="6" r:id="rId5"/>
    <sheet name="Source_Data" sheetId="3" r:id="rId6"/>
    <sheet name="Change Log" sheetId="8" r:id="rId7"/>
  </sheets>
  <definedNames>
    <definedName name="_xlnm._FilterDatabase" localSheetId="2" hidden="1">Main!$A$1:$Q$43</definedName>
    <definedName name="AG">Main!$I$13</definedName>
    <definedName name="Armor_DB">Main!$H$36</definedName>
    <definedName name="BMR">Combat!$K$8</definedName>
    <definedName name="Body_Development">'Skill Workbook'!$AL$43</definedName>
    <definedName name="Body_Development_Ranks">'Skill Workbook'!$AE$43</definedName>
    <definedName name="Bonus_Endurance">Main!$C$11</definedName>
    <definedName name="Character_Name">Main!$D$2</definedName>
    <definedName name="CO">Main!$I$14</definedName>
    <definedName name="Cost_Melee">'Base Details'!$P$95</definedName>
    <definedName name="Cost_Ranged">'Base Details'!$P$96</definedName>
    <definedName name="Cost_Shield">'Base Details'!$P$97</definedName>
    <definedName name="Cost_Unarmed">'Base Details'!$P$98</definedName>
    <definedName name="Culinary">'Skill Workbook'!$AL$80</definedName>
    <definedName name="Culture">'Base Details'!$H$39</definedName>
    <definedName name="EM">Main!$I$15</definedName>
    <definedName name="Fatigue">Main!#REF!</definedName>
    <definedName name="Gender">'Base Details'!$H$11</definedName>
    <definedName name="Healing_Factor">Combat!$D$46</definedName>
    <definedName name="Herbalism">'Skill Workbook'!$AL$131</definedName>
    <definedName name="HP">Combat!$H$32</definedName>
    <definedName name="IN">Main!$I$16</definedName>
    <definedName name="Level">Main!$P$2</definedName>
    <definedName name="ME">Main!$I$17</definedName>
    <definedName name="Medicine">'Skill Workbook'!$AL$132</definedName>
    <definedName name="MMP">Combat!$A$42</definedName>
    <definedName name="Power">Combat!$N$32</definedName>
    <definedName name="Power_Development">'Skill Workbook'!$AL$150</definedName>
    <definedName name="PR">Main!$I$18</definedName>
    <definedName name="_xlnm.Print_Area" localSheetId="4">Combat!$A$1:$V$81</definedName>
    <definedName name="_xlnm.Print_Area" localSheetId="2">Main!$A$1:$Z$37</definedName>
    <definedName name="_xlnm.Print_Area" localSheetId="1">'Skill Workbook'!$B$1:$AL$210</definedName>
    <definedName name="_xlnm.Print_Area" localSheetId="3">Skills!$A$1:$L$84</definedName>
    <definedName name="_xlnm.Print_Titles" localSheetId="1">'Skill Workbook'!$1:$9</definedName>
    <definedName name="Profession">'Base Details'!$H$45</definedName>
    <definedName name="Professional_Skill_Choices">'Base Details'!$H$57:$H$71</definedName>
    <definedName name="Professional_Skill_Knacks">'Base Details'!$J$57:$J$71</definedName>
    <definedName name="Professional_Skill_Options">'Base Details'!$L$57:$L$71</definedName>
    <definedName name="QU">Main!$I$19</definedName>
    <definedName name="Race">'Base Details'!$H$4</definedName>
    <definedName name="Rank_Bonus">Source_Data!$A$4:$B$34</definedName>
    <definedName name="RE">Main!$I$20</definedName>
    <definedName name="Realm">'Base Details'!$H$53</definedName>
    <definedName name="Realm_Options">Source_Data!$ER$4:$ER$9</definedName>
    <definedName name="Recovery">Main!$C$9</definedName>
    <definedName name="RR_Channeling">Main!$I$26</definedName>
    <definedName name="RR_Essence">Main!$I$27</definedName>
    <definedName name="RR_Fear">Main!$I$30</definedName>
    <definedName name="RR_Mentalism">Main!$I$28</definedName>
    <definedName name="RR_Physical">Main!$I$29</definedName>
    <definedName name="RS">Main!$I$23</definedName>
    <definedName name="Running">'Skill Workbook'!$AL$139</definedName>
    <definedName name="Running_Ranks">'Skill Workbook'!$AE$139</definedName>
    <definedName name="SD">Main!$I$21</definedName>
    <definedName name="Shield">'Skill Workbook'!$AL$75</definedName>
    <definedName name="Shield_DB">Main!$H$37</definedName>
    <definedName name="Shield_Ranks">'Skill Workbook'!$AE$75</definedName>
    <definedName name="Shield_Uses">Main!$P$37</definedName>
    <definedName name="Size">Main!$H$7</definedName>
    <definedName name="ST">Main!$I$22</definedName>
    <definedName name="Stat_Bonus">Source_Data!$DM$4:$DN$104</definedName>
    <definedName name="Stride">Main!$H$9</definedName>
    <definedName name="Table_Armor_Arms">Source_Data!$DZ$24:$EF$33</definedName>
    <definedName name="Table_Armor_Chest">Source_Data!$DZ$4:$EF$13</definedName>
    <definedName name="Table_Armor_Head">Source_Data!$DZ$14:$EF$23</definedName>
    <definedName name="Table_Armor_Legs">Source_Data!$DZ$34:$EF$43</definedName>
    <definedName name="Table_Armor_Shields">Source_Data!$EI$4:$EM$8</definedName>
    <definedName name="Table_Culture">Source_Data!$G$4:$H$31</definedName>
    <definedName name="Table_Culture_Ranks">Source_Data!$AX$3:$CI$31</definedName>
    <definedName name="Table_Fighting_Styles">Source_Data!$FS$4:$GE$27</definedName>
    <definedName name="Table_Melee_Weapons">Source_Data!$J$17:$K$24</definedName>
    <definedName name="Table_Profession">Source_Data!$D$4:$E$30</definedName>
    <definedName name="Table_Profession_Skills">Source_Data!$M$3:$AV$30</definedName>
    <definedName name="Table_Professional_Skills">Source_Data!$EU$4:$FJ$30</definedName>
    <definedName name="Table_Race">Source_Data!$CK$4:$DK$37</definedName>
    <definedName name="Table_Ranged_Weapons">Source_Data!$J$27:$K$31</definedName>
    <definedName name="Table_Realm_Stat">Source_Data!$ER$4:$ES$9</definedName>
    <definedName name="Table_Style_Abilities">Source_Data!$FL$4:$FP$101</definedName>
    <definedName name="Table_Unarmed_Attacks">Source_Data!$J$34:$K$43</definedName>
    <definedName name="Weapon_Table">Source_Data!$DQ$4:$DX$66</definedName>
    <definedName name="Weight">'Base Details'!$N$92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 i="1" l="1"/>
  <c r="C8" i="1"/>
  <c r="H5" i="1"/>
  <c r="N9" i="5"/>
  <c r="O9" i="5"/>
  <c r="P9" i="5"/>
  <c r="Q9" i="5"/>
  <c r="R9" i="5"/>
  <c r="S9" i="5"/>
  <c r="T9" i="5"/>
  <c r="U9" i="5"/>
  <c r="V9" i="5"/>
  <c r="W9" i="5"/>
  <c r="X9" i="5"/>
  <c r="Y9" i="5"/>
  <c r="Z9" i="5"/>
  <c r="AA9" i="5"/>
  <c r="AB9" i="5"/>
  <c r="AC9" i="5"/>
  <c r="AD9" i="5"/>
  <c r="AE9" i="5"/>
  <c r="AF9" i="5"/>
  <c r="AG9" i="5"/>
  <c r="N10" i="5"/>
  <c r="O10" i="5"/>
  <c r="P10" i="5"/>
  <c r="Q10" i="5"/>
  <c r="R10" i="5"/>
  <c r="S10" i="5"/>
  <c r="T10" i="5"/>
  <c r="U10" i="5"/>
  <c r="V10" i="5"/>
  <c r="W10" i="5"/>
  <c r="X10" i="5"/>
  <c r="Y10" i="5"/>
  <c r="Z10" i="5"/>
  <c r="AA10" i="5"/>
  <c r="AB10" i="5"/>
  <c r="AC10" i="5"/>
  <c r="AD10" i="5"/>
  <c r="AE10" i="5"/>
  <c r="AF10" i="5"/>
  <c r="AG10" i="5"/>
  <c r="N11" i="5"/>
  <c r="O11" i="5"/>
  <c r="P11" i="5"/>
  <c r="Q11" i="5"/>
  <c r="R11" i="5"/>
  <c r="S11" i="5"/>
  <c r="T11" i="5"/>
  <c r="U11" i="5"/>
  <c r="V11" i="5"/>
  <c r="W11" i="5"/>
  <c r="X11" i="5"/>
  <c r="Y11" i="5"/>
  <c r="Z11" i="5"/>
  <c r="AA11" i="5"/>
  <c r="AB11" i="5"/>
  <c r="AC11" i="5"/>
  <c r="AD11" i="5"/>
  <c r="AE11" i="5"/>
  <c r="AF11" i="5"/>
  <c r="AG11" i="5"/>
  <c r="N12" i="5"/>
  <c r="O12" i="5"/>
  <c r="P12" i="5"/>
  <c r="Q12" i="5"/>
  <c r="R12" i="5"/>
  <c r="S12" i="5"/>
  <c r="T12" i="5"/>
  <c r="U12" i="5"/>
  <c r="V12" i="5"/>
  <c r="W12" i="5"/>
  <c r="X12" i="5"/>
  <c r="Y12" i="5"/>
  <c r="Z12" i="5"/>
  <c r="AA12" i="5"/>
  <c r="AB12" i="5"/>
  <c r="AC12" i="5"/>
  <c r="AD12" i="5"/>
  <c r="AE12" i="5"/>
  <c r="AF12" i="5"/>
  <c r="AG12" i="5"/>
  <c r="N13" i="5"/>
  <c r="O13" i="5"/>
  <c r="P13" i="5"/>
  <c r="Q13" i="5"/>
  <c r="R13" i="5"/>
  <c r="S13" i="5"/>
  <c r="T13" i="5"/>
  <c r="U13" i="5"/>
  <c r="V13" i="5"/>
  <c r="W13" i="5"/>
  <c r="X13" i="5"/>
  <c r="Y13" i="5"/>
  <c r="Z13" i="5"/>
  <c r="AA13" i="5"/>
  <c r="AB13" i="5"/>
  <c r="AC13" i="5"/>
  <c r="AD13" i="5"/>
  <c r="AE13" i="5"/>
  <c r="AF13" i="5"/>
  <c r="AG13" i="5"/>
  <c r="N14" i="5"/>
  <c r="O14" i="5"/>
  <c r="P14" i="5"/>
  <c r="Q14" i="5"/>
  <c r="R14" i="5"/>
  <c r="S14" i="5"/>
  <c r="T14" i="5"/>
  <c r="U14" i="5"/>
  <c r="V14" i="5"/>
  <c r="W14" i="5"/>
  <c r="X14" i="5"/>
  <c r="Y14" i="5"/>
  <c r="Z14" i="5"/>
  <c r="AA14" i="5"/>
  <c r="AB14" i="5"/>
  <c r="AC14" i="5"/>
  <c r="AD14" i="5"/>
  <c r="AE14" i="5"/>
  <c r="AF14" i="5"/>
  <c r="AG14" i="5"/>
  <c r="N15" i="5"/>
  <c r="O15" i="5"/>
  <c r="P15" i="5"/>
  <c r="Q15" i="5"/>
  <c r="R15" i="5"/>
  <c r="S15" i="5"/>
  <c r="T15" i="5"/>
  <c r="U15" i="5"/>
  <c r="V15" i="5"/>
  <c r="W15" i="5"/>
  <c r="X15" i="5"/>
  <c r="Y15" i="5"/>
  <c r="Z15" i="5"/>
  <c r="AA15" i="5"/>
  <c r="AB15" i="5"/>
  <c r="AC15" i="5"/>
  <c r="AD15" i="5"/>
  <c r="AE15" i="5"/>
  <c r="AF15" i="5"/>
  <c r="AG15" i="5"/>
  <c r="N16" i="5"/>
  <c r="O16" i="5"/>
  <c r="P16" i="5"/>
  <c r="Q16" i="5"/>
  <c r="R16" i="5"/>
  <c r="S16" i="5"/>
  <c r="T16" i="5"/>
  <c r="U16" i="5"/>
  <c r="V16" i="5"/>
  <c r="W16" i="5"/>
  <c r="X16" i="5"/>
  <c r="Y16" i="5"/>
  <c r="Z16" i="5"/>
  <c r="AA16" i="5"/>
  <c r="AB16" i="5"/>
  <c r="AC16" i="5"/>
  <c r="AD16" i="5"/>
  <c r="AE16" i="5"/>
  <c r="AF16" i="5"/>
  <c r="AG16" i="5"/>
  <c r="N17" i="5"/>
  <c r="O17" i="5"/>
  <c r="P17" i="5"/>
  <c r="Q17" i="5"/>
  <c r="R17" i="5"/>
  <c r="S17" i="5"/>
  <c r="T17" i="5"/>
  <c r="U17" i="5"/>
  <c r="V17" i="5"/>
  <c r="W17" i="5"/>
  <c r="X17" i="5"/>
  <c r="Y17" i="5"/>
  <c r="Z17" i="5"/>
  <c r="AA17" i="5"/>
  <c r="AB17" i="5"/>
  <c r="AC17" i="5"/>
  <c r="AD17" i="5"/>
  <c r="AE17" i="5"/>
  <c r="AF17" i="5"/>
  <c r="AG17" i="5"/>
  <c r="N18" i="5"/>
  <c r="O18" i="5"/>
  <c r="P18" i="5"/>
  <c r="Q18" i="5"/>
  <c r="R18" i="5"/>
  <c r="S18" i="5"/>
  <c r="T18" i="5"/>
  <c r="U18" i="5"/>
  <c r="V18" i="5"/>
  <c r="W18" i="5"/>
  <c r="X18" i="5"/>
  <c r="Y18" i="5"/>
  <c r="Z18" i="5"/>
  <c r="AA18" i="5"/>
  <c r="AB18" i="5"/>
  <c r="AC18" i="5"/>
  <c r="AD18" i="5"/>
  <c r="AE18" i="5"/>
  <c r="AF18" i="5"/>
  <c r="AG18" i="5"/>
  <c r="N19" i="5"/>
  <c r="O19" i="5"/>
  <c r="P19" i="5"/>
  <c r="Q19" i="5"/>
  <c r="R19" i="5"/>
  <c r="S19" i="5"/>
  <c r="T19" i="5"/>
  <c r="U19" i="5"/>
  <c r="V19" i="5"/>
  <c r="W19" i="5"/>
  <c r="X19" i="5"/>
  <c r="Y19" i="5"/>
  <c r="Z19" i="5"/>
  <c r="AA19" i="5"/>
  <c r="AB19" i="5"/>
  <c r="AC19" i="5"/>
  <c r="AD19" i="5"/>
  <c r="AE19" i="5"/>
  <c r="AF19" i="5"/>
  <c r="AG19" i="5"/>
  <c r="N20" i="5"/>
  <c r="O20" i="5"/>
  <c r="P20" i="5"/>
  <c r="Q20" i="5"/>
  <c r="R20" i="5"/>
  <c r="S20" i="5"/>
  <c r="T20" i="5"/>
  <c r="U20" i="5"/>
  <c r="V20" i="5"/>
  <c r="W20" i="5"/>
  <c r="X20" i="5"/>
  <c r="Y20" i="5"/>
  <c r="Z20" i="5"/>
  <c r="AA20" i="5"/>
  <c r="AB20" i="5"/>
  <c r="AC20" i="5"/>
  <c r="AD20" i="5"/>
  <c r="AE20" i="5"/>
  <c r="AF20" i="5"/>
  <c r="AG20" i="5"/>
  <c r="N21" i="5"/>
  <c r="O21" i="5"/>
  <c r="P21" i="5"/>
  <c r="Q21" i="5"/>
  <c r="R21" i="5"/>
  <c r="S21" i="5"/>
  <c r="T21" i="5"/>
  <c r="U21" i="5"/>
  <c r="V21" i="5"/>
  <c r="W21" i="5"/>
  <c r="X21" i="5"/>
  <c r="Y21" i="5"/>
  <c r="Z21" i="5"/>
  <c r="AA21" i="5"/>
  <c r="AB21" i="5"/>
  <c r="AC21" i="5"/>
  <c r="AD21" i="5"/>
  <c r="AE21" i="5"/>
  <c r="AF21" i="5"/>
  <c r="AG21" i="5"/>
  <c r="N22" i="5"/>
  <c r="O22" i="5"/>
  <c r="P22" i="5"/>
  <c r="Q22" i="5"/>
  <c r="R22" i="5"/>
  <c r="S22" i="5"/>
  <c r="T22" i="5"/>
  <c r="U22" i="5"/>
  <c r="V22" i="5"/>
  <c r="W22" i="5"/>
  <c r="X22" i="5"/>
  <c r="Y22" i="5"/>
  <c r="Z22" i="5"/>
  <c r="AA22" i="5"/>
  <c r="AB22" i="5"/>
  <c r="AC22" i="5"/>
  <c r="AD22" i="5"/>
  <c r="AE22" i="5"/>
  <c r="AF22" i="5"/>
  <c r="AG22" i="5"/>
  <c r="N23" i="5"/>
  <c r="O23" i="5"/>
  <c r="P23" i="5"/>
  <c r="Q23" i="5"/>
  <c r="R23" i="5"/>
  <c r="S23" i="5"/>
  <c r="T23" i="5"/>
  <c r="U23" i="5"/>
  <c r="V23" i="5"/>
  <c r="W23" i="5"/>
  <c r="X23" i="5"/>
  <c r="Y23" i="5"/>
  <c r="Z23" i="5"/>
  <c r="AA23" i="5"/>
  <c r="AB23" i="5"/>
  <c r="AC23" i="5"/>
  <c r="AD23" i="5"/>
  <c r="AE23" i="5"/>
  <c r="AF23" i="5"/>
  <c r="AG23" i="5"/>
  <c r="N24" i="5"/>
  <c r="O24" i="5"/>
  <c r="P24" i="5"/>
  <c r="Q24" i="5"/>
  <c r="R24" i="5"/>
  <c r="S24" i="5"/>
  <c r="T24" i="5"/>
  <c r="U24" i="5"/>
  <c r="V24" i="5"/>
  <c r="W24" i="5"/>
  <c r="X24" i="5"/>
  <c r="Y24" i="5"/>
  <c r="Z24" i="5"/>
  <c r="AA24" i="5"/>
  <c r="AB24" i="5"/>
  <c r="AC24" i="5"/>
  <c r="AD24" i="5"/>
  <c r="AE24" i="5"/>
  <c r="AF24" i="5"/>
  <c r="AG24" i="5"/>
  <c r="N25" i="5"/>
  <c r="O25" i="5"/>
  <c r="P25" i="5"/>
  <c r="Q25" i="5"/>
  <c r="R25" i="5"/>
  <c r="S25" i="5"/>
  <c r="T25" i="5"/>
  <c r="U25" i="5"/>
  <c r="V25" i="5"/>
  <c r="W25" i="5"/>
  <c r="X25" i="5"/>
  <c r="Y25" i="5"/>
  <c r="Z25" i="5"/>
  <c r="AA25" i="5"/>
  <c r="AB25" i="5"/>
  <c r="AC25" i="5"/>
  <c r="AD25" i="5"/>
  <c r="AE25" i="5"/>
  <c r="AF25" i="5"/>
  <c r="AG25" i="5"/>
  <c r="N26" i="5"/>
  <c r="O26" i="5"/>
  <c r="P26" i="5"/>
  <c r="Q26" i="5"/>
  <c r="R26" i="5"/>
  <c r="S26" i="5"/>
  <c r="T26" i="5"/>
  <c r="U26" i="5"/>
  <c r="V26" i="5"/>
  <c r="W26" i="5"/>
  <c r="X26" i="5"/>
  <c r="Y26" i="5"/>
  <c r="Z26" i="5"/>
  <c r="AA26" i="5"/>
  <c r="AB26" i="5"/>
  <c r="AC26" i="5"/>
  <c r="AD26" i="5"/>
  <c r="AE26" i="5"/>
  <c r="AF26" i="5"/>
  <c r="AG26" i="5"/>
  <c r="N27" i="5"/>
  <c r="O27" i="5"/>
  <c r="P27" i="5"/>
  <c r="Q27" i="5"/>
  <c r="R27" i="5"/>
  <c r="S27" i="5"/>
  <c r="T27" i="5"/>
  <c r="U27" i="5"/>
  <c r="V27" i="5"/>
  <c r="W27" i="5"/>
  <c r="X27" i="5"/>
  <c r="Y27" i="5"/>
  <c r="Z27" i="5"/>
  <c r="AA27" i="5"/>
  <c r="AB27" i="5"/>
  <c r="AC27" i="5"/>
  <c r="AD27" i="5"/>
  <c r="AE27" i="5"/>
  <c r="AF27" i="5"/>
  <c r="AG27" i="5"/>
  <c r="N28" i="5"/>
  <c r="O28" i="5"/>
  <c r="P28" i="5"/>
  <c r="Q28" i="5"/>
  <c r="R28" i="5"/>
  <c r="S28" i="5"/>
  <c r="T28" i="5"/>
  <c r="U28" i="5"/>
  <c r="V28" i="5"/>
  <c r="W28" i="5"/>
  <c r="X28" i="5"/>
  <c r="Y28" i="5"/>
  <c r="Z28" i="5"/>
  <c r="AA28" i="5"/>
  <c r="AB28" i="5"/>
  <c r="AC28" i="5"/>
  <c r="AD28" i="5"/>
  <c r="AE28" i="5"/>
  <c r="AF28" i="5"/>
  <c r="AG28" i="5"/>
  <c r="N29" i="5"/>
  <c r="O29" i="5"/>
  <c r="P29" i="5"/>
  <c r="Q29" i="5"/>
  <c r="R29" i="5"/>
  <c r="S29" i="5"/>
  <c r="T29" i="5"/>
  <c r="U29" i="5"/>
  <c r="V29" i="5"/>
  <c r="W29" i="5"/>
  <c r="X29" i="5"/>
  <c r="Y29" i="5"/>
  <c r="Z29" i="5"/>
  <c r="AA29" i="5"/>
  <c r="AB29" i="5"/>
  <c r="AC29" i="5"/>
  <c r="AD29" i="5"/>
  <c r="AE29" i="5"/>
  <c r="AF29" i="5"/>
  <c r="AG29" i="5"/>
  <c r="N30" i="5"/>
  <c r="O30" i="5"/>
  <c r="P30" i="5"/>
  <c r="Q30" i="5"/>
  <c r="R30" i="5"/>
  <c r="S30" i="5"/>
  <c r="T30" i="5"/>
  <c r="U30" i="5"/>
  <c r="V30" i="5"/>
  <c r="W30" i="5"/>
  <c r="X30" i="5"/>
  <c r="Y30" i="5"/>
  <c r="Z30" i="5"/>
  <c r="AA30" i="5"/>
  <c r="AB30" i="5"/>
  <c r="AC30" i="5"/>
  <c r="AD30" i="5"/>
  <c r="AE30" i="5"/>
  <c r="AF30" i="5"/>
  <c r="AG30" i="5"/>
  <c r="N31" i="5"/>
  <c r="O31" i="5"/>
  <c r="P31" i="5"/>
  <c r="Q31" i="5"/>
  <c r="R31" i="5"/>
  <c r="S31" i="5"/>
  <c r="T31" i="5"/>
  <c r="U31" i="5"/>
  <c r="V31" i="5"/>
  <c r="W31" i="5"/>
  <c r="X31" i="5"/>
  <c r="Y31" i="5"/>
  <c r="Z31" i="5"/>
  <c r="AA31" i="5"/>
  <c r="AB31" i="5"/>
  <c r="AC31" i="5"/>
  <c r="AD31" i="5"/>
  <c r="AE31" i="5"/>
  <c r="AF31" i="5"/>
  <c r="AG31" i="5"/>
  <c r="N32" i="5"/>
  <c r="O32" i="5"/>
  <c r="P32" i="5"/>
  <c r="Q32" i="5"/>
  <c r="R32" i="5"/>
  <c r="S32" i="5"/>
  <c r="T32" i="5"/>
  <c r="U32" i="5"/>
  <c r="V32" i="5"/>
  <c r="W32" i="5"/>
  <c r="X32" i="5"/>
  <c r="Y32" i="5"/>
  <c r="Z32" i="5"/>
  <c r="AA32" i="5"/>
  <c r="AB32" i="5"/>
  <c r="AC32" i="5"/>
  <c r="AD32" i="5"/>
  <c r="AE32" i="5"/>
  <c r="AF32" i="5"/>
  <c r="AG32" i="5"/>
  <c r="N33" i="5"/>
  <c r="O33" i="5"/>
  <c r="P33" i="5"/>
  <c r="Q33" i="5"/>
  <c r="R33" i="5"/>
  <c r="S33" i="5"/>
  <c r="T33" i="5"/>
  <c r="U33" i="5"/>
  <c r="V33" i="5"/>
  <c r="W33" i="5"/>
  <c r="X33" i="5"/>
  <c r="Y33" i="5"/>
  <c r="Z33" i="5"/>
  <c r="AA33" i="5"/>
  <c r="AB33" i="5"/>
  <c r="AC33" i="5"/>
  <c r="AD33" i="5"/>
  <c r="AE33" i="5"/>
  <c r="AF33" i="5"/>
  <c r="AG33" i="5"/>
  <c r="N34" i="5"/>
  <c r="O34" i="5"/>
  <c r="P34" i="5"/>
  <c r="Q34" i="5"/>
  <c r="R34" i="5"/>
  <c r="S34" i="5"/>
  <c r="T34" i="5"/>
  <c r="U34" i="5"/>
  <c r="V34" i="5"/>
  <c r="W34" i="5"/>
  <c r="X34" i="5"/>
  <c r="Y34" i="5"/>
  <c r="Z34" i="5"/>
  <c r="AA34" i="5"/>
  <c r="AB34" i="5"/>
  <c r="AC34" i="5"/>
  <c r="AD34" i="5"/>
  <c r="AE34" i="5"/>
  <c r="AF34" i="5"/>
  <c r="AG34" i="5"/>
  <c r="N35" i="5"/>
  <c r="O35" i="5"/>
  <c r="P35" i="5"/>
  <c r="Q35" i="5"/>
  <c r="R35" i="5"/>
  <c r="S35" i="5"/>
  <c r="T35" i="5"/>
  <c r="U35" i="5"/>
  <c r="V35" i="5"/>
  <c r="W35" i="5"/>
  <c r="X35" i="5"/>
  <c r="Y35" i="5"/>
  <c r="Z35" i="5"/>
  <c r="AA35" i="5"/>
  <c r="AB35" i="5"/>
  <c r="AC35" i="5"/>
  <c r="AD35" i="5"/>
  <c r="AE35" i="5"/>
  <c r="AF35" i="5"/>
  <c r="AG35" i="5"/>
  <c r="N36" i="5"/>
  <c r="O36" i="5"/>
  <c r="P36" i="5"/>
  <c r="Q36" i="5"/>
  <c r="R36" i="5"/>
  <c r="S36" i="5"/>
  <c r="T36" i="5"/>
  <c r="U36" i="5"/>
  <c r="V36" i="5"/>
  <c r="W36" i="5"/>
  <c r="X36" i="5"/>
  <c r="Y36" i="5"/>
  <c r="Z36" i="5"/>
  <c r="AA36" i="5"/>
  <c r="AB36" i="5"/>
  <c r="AC36" i="5"/>
  <c r="AD36" i="5"/>
  <c r="AE36" i="5"/>
  <c r="AF36" i="5"/>
  <c r="AG36" i="5"/>
  <c r="N37" i="5"/>
  <c r="O37" i="5"/>
  <c r="P37" i="5"/>
  <c r="Q37" i="5"/>
  <c r="R37" i="5"/>
  <c r="S37" i="5"/>
  <c r="T37" i="5"/>
  <c r="U37" i="5"/>
  <c r="V37" i="5"/>
  <c r="W37" i="5"/>
  <c r="X37" i="5"/>
  <c r="Y37" i="5"/>
  <c r="Z37" i="5"/>
  <c r="AA37" i="5"/>
  <c r="AB37" i="5"/>
  <c r="AC37" i="5"/>
  <c r="AD37" i="5"/>
  <c r="AE37" i="5"/>
  <c r="AF37" i="5"/>
  <c r="AG37" i="5"/>
  <c r="P71" i="6"/>
  <c r="J71" i="6"/>
  <c r="R74" i="6"/>
  <c r="R75" i="6"/>
  <c r="R76" i="6"/>
  <c r="R77" i="6"/>
  <c r="R78" i="6"/>
  <c r="R79" i="6"/>
  <c r="R80" i="6"/>
  <c r="R81" i="6"/>
  <c r="R73" i="6"/>
  <c r="L74" i="6"/>
  <c r="L75" i="6"/>
  <c r="L76" i="6"/>
  <c r="L77" i="6"/>
  <c r="L78" i="6"/>
  <c r="L79" i="6"/>
  <c r="L80" i="6"/>
  <c r="L81" i="6"/>
  <c r="L73" i="6"/>
  <c r="FT30" i="3"/>
  <c r="FT32" i="3" s="1"/>
  <c r="FS30" i="3"/>
  <c r="I5" i="7"/>
  <c r="I6" i="7"/>
  <c r="I7" i="7"/>
  <c r="I8" i="7"/>
  <c r="I9" i="7"/>
  <c r="I10" i="7"/>
  <c r="I11" i="7"/>
  <c r="E5" i="7"/>
  <c r="E6" i="7"/>
  <c r="E7" i="7"/>
  <c r="E8" i="7"/>
  <c r="E9" i="7"/>
  <c r="E10" i="7"/>
  <c r="E11" i="7"/>
  <c r="I4" i="7"/>
  <c r="E4" i="7"/>
  <c r="A5" i="7"/>
  <c r="A6" i="7"/>
  <c r="A7" i="7"/>
  <c r="A8" i="7"/>
  <c r="A9" i="7"/>
  <c r="A10" i="7"/>
  <c r="A11" i="7"/>
  <c r="A4" i="7"/>
  <c r="L5" i="7"/>
  <c r="L6" i="7"/>
  <c r="L7" i="7"/>
  <c r="L8" i="7"/>
  <c r="L9" i="7"/>
  <c r="L10" i="7"/>
  <c r="L11" i="7"/>
  <c r="L4" i="7"/>
  <c r="H5" i="7"/>
  <c r="H6" i="7"/>
  <c r="H7" i="7"/>
  <c r="H8" i="7"/>
  <c r="H9" i="7"/>
  <c r="H10" i="7"/>
  <c r="H11" i="7"/>
  <c r="H4" i="7"/>
  <c r="D5" i="7"/>
  <c r="D6" i="7"/>
  <c r="D7" i="7"/>
  <c r="D8" i="7"/>
  <c r="D9" i="7"/>
  <c r="D10" i="7"/>
  <c r="D11" i="7"/>
  <c r="D4" i="7"/>
  <c r="AE35" i="2"/>
  <c r="AF35" i="2" s="1"/>
  <c r="AG35" i="2" a="1"/>
  <c r="AG35" i="2" s="1"/>
  <c r="AH35" i="2"/>
  <c r="AI35" i="2"/>
  <c r="AE36" i="2"/>
  <c r="AF36" i="2" s="1"/>
  <c r="AG36" i="2" a="1"/>
  <c r="AG36" i="2" s="1"/>
  <c r="AH36" i="2"/>
  <c r="AI36" i="2"/>
  <c r="AE37" i="2"/>
  <c r="AF37" i="2" s="1"/>
  <c r="AG37" i="2" a="1"/>
  <c r="AG37" i="2" s="1"/>
  <c r="AH37" i="2"/>
  <c r="AI37" i="2"/>
  <c r="AE38" i="2"/>
  <c r="AF38" i="2" s="1"/>
  <c r="AG38" i="2" a="1"/>
  <c r="AG38" i="2" s="1"/>
  <c r="AH38" i="2"/>
  <c r="AI38" i="2"/>
  <c r="AE39" i="2"/>
  <c r="AF39" i="2" s="1"/>
  <c r="AG39" i="2" a="1"/>
  <c r="AG39" i="2" s="1"/>
  <c r="AH39" i="2"/>
  <c r="AI39" i="2"/>
  <c r="AE40" i="2"/>
  <c r="AF40" i="2" s="1"/>
  <c r="AG40" i="2" a="1"/>
  <c r="AG40" i="2" s="1"/>
  <c r="AH40" i="2"/>
  <c r="AI40" i="2"/>
  <c r="AE41" i="2"/>
  <c r="AF41" i="2" s="1"/>
  <c r="AG41" i="2" a="1"/>
  <c r="AG41" i="2" s="1"/>
  <c r="AH41" i="2"/>
  <c r="AI41" i="2"/>
  <c r="AE42" i="2"/>
  <c r="AF42" i="2" s="1"/>
  <c r="AG42" i="2" a="1"/>
  <c r="AG42" i="2" s="1"/>
  <c r="AH42" i="2"/>
  <c r="AI42" i="2"/>
  <c r="C35" i="2"/>
  <c r="C36" i="2"/>
  <c r="C37" i="2"/>
  <c r="C38" i="2"/>
  <c r="C39" i="2"/>
  <c r="C40" i="2"/>
  <c r="C41" i="2"/>
  <c r="C42" i="2"/>
  <c r="C46" i="2"/>
  <c r="AE46" i="2"/>
  <c r="AF46" i="2" s="1"/>
  <c r="AG46" i="2" a="1"/>
  <c r="AG46" i="2" s="1"/>
  <c r="C47" i="2"/>
  <c r="AE47" i="2"/>
  <c r="AF47" i="2" s="1"/>
  <c r="AG47" i="2" a="1"/>
  <c r="AG47" i="2" s="1"/>
  <c r="C48" i="2"/>
  <c r="AE48" i="2"/>
  <c r="AF48" i="2" s="1"/>
  <c r="AG48" i="2" a="1"/>
  <c r="AG48" i="2" s="1"/>
  <c r="C49" i="2"/>
  <c r="AE49" i="2"/>
  <c r="AF49" i="2" s="1"/>
  <c r="AG49" i="2" a="1"/>
  <c r="AG49" i="2" s="1"/>
  <c r="C50" i="2"/>
  <c r="AE50" i="2"/>
  <c r="AF50" i="2" s="1"/>
  <c r="AG50" i="2" a="1"/>
  <c r="AG50" i="2" s="1"/>
  <c r="C51" i="2"/>
  <c r="AE51" i="2"/>
  <c r="AF51" i="2" s="1"/>
  <c r="AG51" i="2" a="1"/>
  <c r="AG51" i="2" s="1"/>
  <c r="C52" i="2"/>
  <c r="AE52" i="2"/>
  <c r="AF52" i="2" s="1"/>
  <c r="AG52" i="2" a="1"/>
  <c r="AG52" i="2" s="1"/>
  <c r="C53" i="2"/>
  <c r="AE53" i="2"/>
  <c r="AF53" i="2" s="1"/>
  <c r="AG53" i="2" a="1"/>
  <c r="AG53" i="2" s="1"/>
  <c r="C22" i="2"/>
  <c r="AE22" i="2"/>
  <c r="AF22" i="2" s="1"/>
  <c r="AG22" i="2" a="1"/>
  <c r="AG22" i="2" s="1"/>
  <c r="C23" i="2"/>
  <c r="AE23" i="2"/>
  <c r="AF23" i="2" s="1"/>
  <c r="AG23" i="2" a="1"/>
  <c r="AG23" i="2" s="1"/>
  <c r="C24" i="2"/>
  <c r="AE24" i="2"/>
  <c r="AF24" i="2" s="1"/>
  <c r="AG24" i="2" a="1"/>
  <c r="AG24" i="2" s="1"/>
  <c r="C25" i="2"/>
  <c r="AE25" i="2"/>
  <c r="AF25" i="2" s="1"/>
  <c r="AG25" i="2" a="1"/>
  <c r="AG25" i="2" s="1"/>
  <c r="C18" i="2"/>
  <c r="AE18" i="2"/>
  <c r="AF18" i="2" s="1"/>
  <c r="AG18" i="2" a="1"/>
  <c r="AG18" i="2" s="1"/>
  <c r="C19" i="2"/>
  <c r="AE19" i="2"/>
  <c r="AF19" i="2" s="1"/>
  <c r="AG19" i="2" a="1"/>
  <c r="AG19" i="2" s="1"/>
  <c r="C20" i="2"/>
  <c r="AE20" i="2"/>
  <c r="AF20" i="2" s="1"/>
  <c r="AG20" i="2" a="1"/>
  <c r="AG20" i="2" s="1"/>
  <c r="C21" i="2"/>
  <c r="AE21" i="2"/>
  <c r="AF21" i="2" s="1"/>
  <c r="AG21" i="2" a="1"/>
  <c r="AG21" i="2" s="1"/>
  <c r="V118" i="5"/>
  <c r="J138" i="2" s="1"/>
  <c r="V115" i="5"/>
  <c r="J133" i="2" s="1"/>
  <c r="V116" i="5"/>
  <c r="J135" i="2" s="1"/>
  <c r="V106" i="5"/>
  <c r="J87" i="2" s="1"/>
  <c r="V80" i="6"/>
  <c r="J4" i="7" l="1"/>
  <c r="FT20" i="3" s="1"/>
  <c r="J11" i="7"/>
  <c r="FT27" i="3" s="1"/>
  <c r="J9" i="7"/>
  <c r="FT25" i="3" s="1"/>
  <c r="J8" i="7"/>
  <c r="FT24" i="3" s="1"/>
  <c r="F11" i="7"/>
  <c r="FT19" i="3" s="1"/>
  <c r="F10" i="7"/>
  <c r="FT18" i="3" s="1"/>
  <c r="F5" i="7"/>
  <c r="FT13" i="3" s="1"/>
  <c r="F4" i="7"/>
  <c r="FT12" i="3" s="1"/>
  <c r="J10" i="7"/>
  <c r="FT26" i="3" s="1"/>
  <c r="F9" i="7"/>
  <c r="FT17" i="3" s="1"/>
  <c r="J7" i="7"/>
  <c r="FT23" i="3" s="1"/>
  <c r="F8" i="7"/>
  <c r="FT16" i="3" s="1"/>
  <c r="J6" i="7"/>
  <c r="FT22" i="3" s="1"/>
  <c r="B4" i="7"/>
  <c r="FT4" i="3" s="1"/>
  <c r="F7" i="7"/>
  <c r="FT15" i="3" s="1"/>
  <c r="J5" i="7"/>
  <c r="FT21" i="3" s="1"/>
  <c r="F6" i="7"/>
  <c r="FT14" i="3" s="1"/>
  <c r="B10" i="7"/>
  <c r="FT10" i="3" s="1"/>
  <c r="B9" i="7"/>
  <c r="FT9" i="3" s="1"/>
  <c r="B8" i="7"/>
  <c r="FT8" i="3" s="1"/>
  <c r="B7" i="7"/>
  <c r="FT7" i="3" s="1"/>
  <c r="B6" i="7"/>
  <c r="FT6" i="3" s="1"/>
  <c r="R71" i="6"/>
  <c r="P72" i="6" s="1"/>
  <c r="L71" i="6"/>
  <c r="FT40" i="3"/>
  <c r="FT39" i="3"/>
  <c r="FT38" i="3"/>
  <c r="FT37" i="3"/>
  <c r="FT36" i="3"/>
  <c r="FT35" i="3"/>
  <c r="FT31" i="3"/>
  <c r="FT34" i="3"/>
  <c r="FT33" i="3"/>
  <c r="B5" i="7"/>
  <c r="FT5" i="3" s="1"/>
  <c r="FS38" i="3"/>
  <c r="FS34" i="3"/>
  <c r="FS36" i="3"/>
  <c r="FS31" i="3"/>
  <c r="FS40" i="3"/>
  <c r="FS39" i="3"/>
  <c r="FS37" i="3"/>
  <c r="FS35" i="3"/>
  <c r="FS32" i="3"/>
  <c r="FS33" i="3"/>
  <c r="B11" i="7"/>
  <c r="FT11" i="3" s="1"/>
  <c r="AL41" i="2"/>
  <c r="AL38" i="2"/>
  <c r="AL36" i="2"/>
  <c r="AL40" i="2"/>
  <c r="AL42" i="2"/>
  <c r="AL37" i="2"/>
  <c r="AL39" i="2"/>
  <c r="AL35" i="2"/>
  <c r="M5" i="2"/>
  <c r="N5" i="2"/>
  <c r="O5" i="2"/>
  <c r="P5" i="2"/>
  <c r="Q5" i="2"/>
  <c r="R5" i="2"/>
  <c r="S5" i="2"/>
  <c r="T5" i="2"/>
  <c r="U5" i="2"/>
  <c r="V5" i="2"/>
  <c r="W5" i="2"/>
  <c r="X5" i="2"/>
  <c r="Y5" i="2"/>
  <c r="Z5" i="2"/>
  <c r="AA5" i="2"/>
  <c r="AB5" i="2"/>
  <c r="AC5" i="2"/>
  <c r="AD5" i="2"/>
  <c r="L5" i="2"/>
  <c r="K5" i="2"/>
  <c r="J24" i="1"/>
  <c r="N5" i="1"/>
  <c r="C10" i="2"/>
  <c r="G10" i="2"/>
  <c r="J10" i="2"/>
  <c r="AE10" i="2"/>
  <c r="AF10" i="2" s="1"/>
  <c r="J72" i="6" l="1"/>
  <c r="AK42" i="2"/>
  <c r="K11" i="7"/>
  <c r="AK36" i="2"/>
  <c r="K5" i="7"/>
  <c r="AK37" i="2"/>
  <c r="K6" i="7"/>
  <c r="AK38" i="2"/>
  <c r="K7" i="7"/>
  <c r="AK39" i="2"/>
  <c r="K8" i="7"/>
  <c r="AK40" i="2"/>
  <c r="K9" i="7"/>
  <c r="AK41" i="2"/>
  <c r="K10" i="7"/>
  <c r="AK35" i="2"/>
  <c r="K4" i="7"/>
  <c r="D46" i="6"/>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4" i="1"/>
  <c r="R17" i="1"/>
  <c r="R18" i="1"/>
  <c r="R19" i="1"/>
  <c r="R20" i="1"/>
  <c r="R21" i="1"/>
  <c r="R22" i="1"/>
  <c r="R23" i="1"/>
  <c r="R24" i="1"/>
  <c r="R25" i="1"/>
  <c r="R26" i="1"/>
  <c r="R27" i="1"/>
  <c r="R28" i="1"/>
  <c r="R29" i="1"/>
  <c r="R30" i="1"/>
  <c r="R31" i="1"/>
  <c r="R32" i="1"/>
  <c r="R33" i="1"/>
  <c r="R34" i="1"/>
  <c r="R35" i="1"/>
  <c r="R36" i="1"/>
  <c r="R37" i="1"/>
  <c r="R5" i="1"/>
  <c r="R6" i="1"/>
  <c r="R7" i="1"/>
  <c r="R8" i="1"/>
  <c r="R9" i="1"/>
  <c r="R10" i="1"/>
  <c r="R11" i="1"/>
  <c r="R12" i="1"/>
  <c r="R13" i="1"/>
  <c r="R14" i="1"/>
  <c r="R15" i="1"/>
  <c r="R16" i="1"/>
  <c r="R4" i="1"/>
  <c r="D14" i="7"/>
  <c r="D15" i="7"/>
  <c r="D16" i="7"/>
  <c r="D17" i="7"/>
  <c r="D18" i="7"/>
  <c r="D21" i="7"/>
  <c r="D24" i="7"/>
  <c r="D25" i="7"/>
  <c r="D26" i="7"/>
  <c r="D27" i="7"/>
  <c r="D30" i="7"/>
  <c r="D31" i="7"/>
  <c r="D32" i="7"/>
  <c r="D35" i="7"/>
  <c r="D36" i="7"/>
  <c r="D39" i="7"/>
  <c r="D40" i="7"/>
  <c r="D41" i="7"/>
  <c r="D42" i="7"/>
  <c r="E80" i="7"/>
  <c r="H80" i="7"/>
  <c r="E81" i="7"/>
  <c r="H81" i="7"/>
  <c r="E82" i="7"/>
  <c r="H82" i="7"/>
  <c r="E83" i="7"/>
  <c r="H83" i="7"/>
  <c r="E84" i="7"/>
  <c r="H84" i="7"/>
  <c r="I13" i="7"/>
  <c r="L13" i="7"/>
  <c r="I14" i="7"/>
  <c r="L14" i="7"/>
  <c r="I15" i="7"/>
  <c r="L15" i="7"/>
  <c r="I16" i="7"/>
  <c r="L16" i="7"/>
  <c r="I18" i="7"/>
  <c r="L18" i="7"/>
  <c r="I19" i="7"/>
  <c r="L19" i="7"/>
  <c r="I20" i="7"/>
  <c r="L20" i="7"/>
  <c r="I21" i="7"/>
  <c r="L21" i="7"/>
  <c r="I22" i="7"/>
  <c r="L22" i="7"/>
  <c r="I23" i="7"/>
  <c r="L23" i="7"/>
  <c r="I25" i="7"/>
  <c r="L25" i="7"/>
  <c r="I26" i="7"/>
  <c r="L26" i="7"/>
  <c r="I27" i="7"/>
  <c r="L27" i="7"/>
  <c r="I28" i="7"/>
  <c r="L28" i="7"/>
  <c r="I29" i="7"/>
  <c r="L29" i="7"/>
  <c r="I30" i="7"/>
  <c r="L30" i="7"/>
  <c r="I31" i="7"/>
  <c r="L31" i="7"/>
  <c r="I32" i="7"/>
  <c r="L32" i="7"/>
  <c r="I34" i="7"/>
  <c r="L34" i="7"/>
  <c r="I35" i="7"/>
  <c r="L35" i="7"/>
  <c r="I36" i="7"/>
  <c r="L36" i="7"/>
  <c r="I37" i="7"/>
  <c r="L37" i="7"/>
  <c r="I39" i="7"/>
  <c r="L39" i="7"/>
  <c r="I40" i="7"/>
  <c r="L40" i="7"/>
  <c r="I41" i="7"/>
  <c r="L41" i="7"/>
  <c r="I43" i="7"/>
  <c r="L43" i="7"/>
  <c r="I44" i="7"/>
  <c r="L44" i="7"/>
  <c r="I45" i="7"/>
  <c r="L45" i="7"/>
  <c r="I46" i="7"/>
  <c r="L46" i="7"/>
  <c r="I47" i="7"/>
  <c r="L47" i="7"/>
  <c r="I48" i="7"/>
  <c r="L48" i="7"/>
  <c r="I50" i="7"/>
  <c r="L50" i="7"/>
  <c r="I51" i="7"/>
  <c r="L51" i="7"/>
  <c r="I52" i="7"/>
  <c r="L52" i="7"/>
  <c r="I53" i="7"/>
  <c r="L53" i="7"/>
  <c r="I54" i="7"/>
  <c r="L54" i="7"/>
  <c r="I55" i="7"/>
  <c r="L55" i="7"/>
  <c r="I56" i="7"/>
  <c r="L56" i="7"/>
  <c r="I57" i="7"/>
  <c r="L57" i="7"/>
  <c r="I58" i="7"/>
  <c r="L58" i="7"/>
  <c r="I59" i="7"/>
  <c r="L59" i="7"/>
  <c r="I61" i="7"/>
  <c r="L61" i="7"/>
  <c r="I62" i="7"/>
  <c r="L62" i="7"/>
  <c r="I63" i="7"/>
  <c r="L63" i="7"/>
  <c r="I64" i="7"/>
  <c r="L64" i="7"/>
  <c r="I65" i="7"/>
  <c r="L65" i="7"/>
  <c r="I66" i="7"/>
  <c r="L66" i="7"/>
  <c r="I67" i="7"/>
  <c r="L67" i="7"/>
  <c r="I68" i="7"/>
  <c r="L68" i="7"/>
  <c r="I69" i="7"/>
  <c r="L69" i="7"/>
  <c r="I70" i="7"/>
  <c r="L70" i="7"/>
  <c r="I72" i="7"/>
  <c r="L72" i="7"/>
  <c r="I73" i="7"/>
  <c r="L73" i="7"/>
  <c r="I74" i="7"/>
  <c r="L74" i="7"/>
  <c r="I75" i="7"/>
  <c r="L75" i="7"/>
  <c r="I76" i="7"/>
  <c r="L76" i="7"/>
  <c r="I77" i="7"/>
  <c r="L77" i="7"/>
  <c r="I78" i="7"/>
  <c r="L78" i="7"/>
  <c r="I79" i="7"/>
  <c r="L79" i="7"/>
  <c r="A38" i="7"/>
  <c r="D38" i="7"/>
  <c r="A39" i="7"/>
  <c r="A40" i="7"/>
  <c r="A41" i="7"/>
  <c r="A42" i="7"/>
  <c r="A44" i="7"/>
  <c r="D44" i="7"/>
  <c r="A45" i="7"/>
  <c r="D45" i="7"/>
  <c r="A46" i="7"/>
  <c r="D46" i="7"/>
  <c r="A47" i="7"/>
  <c r="D47" i="7"/>
  <c r="A48" i="7"/>
  <c r="D48" i="7"/>
  <c r="A49" i="7"/>
  <c r="D49" i="7"/>
  <c r="A50" i="7"/>
  <c r="D50" i="7"/>
  <c r="A51" i="7"/>
  <c r="D51" i="7"/>
  <c r="A53" i="7"/>
  <c r="D53" i="7"/>
  <c r="A54" i="7"/>
  <c r="D54" i="7"/>
  <c r="A55" i="7"/>
  <c r="D55" i="7"/>
  <c r="A57" i="7"/>
  <c r="D57" i="7"/>
  <c r="A58" i="7"/>
  <c r="D58" i="7"/>
  <c r="A59" i="7"/>
  <c r="D59" i="7"/>
  <c r="A60" i="7"/>
  <c r="D60" i="7"/>
  <c r="A61" i="7"/>
  <c r="D61" i="7"/>
  <c r="A63" i="7"/>
  <c r="D63" i="7"/>
  <c r="A64" i="7"/>
  <c r="D64" i="7"/>
  <c r="A66" i="7"/>
  <c r="D66" i="7"/>
  <c r="A67" i="7"/>
  <c r="D67" i="7"/>
  <c r="A68" i="7"/>
  <c r="D68" i="7"/>
  <c r="A70" i="7"/>
  <c r="D70" i="7"/>
  <c r="A71" i="7"/>
  <c r="D71" i="7"/>
  <c r="A72" i="7"/>
  <c r="D72" i="7"/>
  <c r="A73" i="7"/>
  <c r="D73" i="7"/>
  <c r="A74" i="7"/>
  <c r="D74" i="7"/>
  <c r="A75" i="7"/>
  <c r="D75" i="7"/>
  <c r="A76" i="7"/>
  <c r="D76" i="7"/>
  <c r="A78" i="7"/>
  <c r="D78" i="7"/>
  <c r="A79" i="7"/>
  <c r="D79" i="7"/>
  <c r="E13" i="7"/>
  <c r="H13" i="7"/>
  <c r="E14" i="7"/>
  <c r="H14" i="7"/>
  <c r="H15" i="7"/>
  <c r="E16" i="7"/>
  <c r="H16" i="7"/>
  <c r="E18" i="7"/>
  <c r="H18" i="7"/>
  <c r="E19" i="7"/>
  <c r="H19" i="7"/>
  <c r="E20" i="7"/>
  <c r="H20" i="7"/>
  <c r="E22" i="7"/>
  <c r="H22" i="7"/>
  <c r="E23" i="7"/>
  <c r="H23" i="7"/>
  <c r="E24" i="7"/>
  <c r="H24" i="7"/>
  <c r="H25" i="7"/>
  <c r="H26" i="7"/>
  <c r="H27" i="7"/>
  <c r="H28" i="7"/>
  <c r="H29" i="7"/>
  <c r="E30" i="7"/>
  <c r="H30" i="7"/>
  <c r="E31" i="7"/>
  <c r="H31" i="7"/>
  <c r="H32" i="7"/>
  <c r="H33" i="7"/>
  <c r="H34" i="7"/>
  <c r="H36" i="7"/>
  <c r="E37" i="7"/>
  <c r="H37" i="7"/>
  <c r="H38" i="7"/>
  <c r="E39" i="7"/>
  <c r="H39" i="7"/>
  <c r="H40" i="7"/>
  <c r="E41" i="7"/>
  <c r="H41" i="7"/>
  <c r="H42" i="7"/>
  <c r="E43" i="7"/>
  <c r="H43" i="7"/>
  <c r="H44" i="7"/>
  <c r="E45" i="7"/>
  <c r="H45" i="7"/>
  <c r="E46" i="7"/>
  <c r="H46" i="7"/>
  <c r="E47" i="7"/>
  <c r="H47" i="7"/>
  <c r="E48" i="7"/>
  <c r="H48" i="7"/>
  <c r="E49" i="7"/>
  <c r="H49" i="7"/>
  <c r="E50" i="7"/>
  <c r="H50" i="7"/>
  <c r="E51" i="7"/>
  <c r="H51" i="7"/>
  <c r="E53" i="7"/>
  <c r="H53" i="7"/>
  <c r="E54" i="7"/>
  <c r="H54" i="7"/>
  <c r="E55" i="7"/>
  <c r="H55" i="7"/>
  <c r="E56" i="7"/>
  <c r="H56" i="7"/>
  <c r="E57" i="7"/>
  <c r="H57" i="7"/>
  <c r="E58" i="7"/>
  <c r="H58" i="7"/>
  <c r="E60" i="7"/>
  <c r="H60" i="7"/>
  <c r="E61" i="7"/>
  <c r="H61" i="7"/>
  <c r="E62" i="7"/>
  <c r="H62" i="7"/>
  <c r="E64" i="7"/>
  <c r="H64" i="7"/>
  <c r="E65" i="7"/>
  <c r="H65" i="7"/>
  <c r="E66" i="7"/>
  <c r="H66" i="7"/>
  <c r="E68" i="7"/>
  <c r="H68" i="7"/>
  <c r="E69" i="7"/>
  <c r="H69" i="7"/>
  <c r="E70" i="7"/>
  <c r="H70" i="7"/>
  <c r="E71" i="7"/>
  <c r="H71" i="7"/>
  <c r="E73" i="7"/>
  <c r="H73" i="7"/>
  <c r="H74" i="7"/>
  <c r="H75" i="7"/>
  <c r="H76" i="7"/>
  <c r="E77" i="7"/>
  <c r="H77" i="7"/>
  <c r="E79" i="7"/>
  <c r="H79" i="7"/>
  <c r="D23" i="7"/>
  <c r="D29" i="7"/>
  <c r="D34" i="7"/>
  <c r="D13" i="7"/>
  <c r="AE173" i="2"/>
  <c r="J37" i="7" s="1"/>
  <c r="AE172" i="2"/>
  <c r="J36" i="7" s="1"/>
  <c r="AE171" i="2"/>
  <c r="J35" i="7" s="1"/>
  <c r="AE170" i="2"/>
  <c r="J34" i="7" s="1"/>
  <c r="AE169" i="2"/>
  <c r="J32" i="7" s="1"/>
  <c r="AE166" i="2"/>
  <c r="J29" i="7" s="1"/>
  <c r="AE165" i="2"/>
  <c r="J28" i="7" s="1"/>
  <c r="AE164" i="2"/>
  <c r="J27" i="7" s="1"/>
  <c r="AE163" i="2"/>
  <c r="J26" i="7" s="1"/>
  <c r="AE162" i="2"/>
  <c r="J25" i="7" s="1"/>
  <c r="AE159" i="2"/>
  <c r="J21" i="7" s="1"/>
  <c r="AE155" i="2"/>
  <c r="J16" i="7" s="1"/>
  <c r="AE154" i="2"/>
  <c r="J15" i="7" s="1"/>
  <c r="AE153" i="2"/>
  <c r="J14" i="7" s="1"/>
  <c r="AE152" i="2"/>
  <c r="J13" i="7" s="1"/>
  <c r="AE151" i="2"/>
  <c r="F84" i="7" s="1"/>
  <c r="AE150" i="2"/>
  <c r="F83" i="7" s="1"/>
  <c r="AE149" i="2"/>
  <c r="F82" i="7" s="1"/>
  <c r="AE148" i="2"/>
  <c r="F81" i="7" s="1"/>
  <c r="AE147" i="2"/>
  <c r="F80" i="7" s="1"/>
  <c r="AE146" i="2"/>
  <c r="F79" i="7" s="1"/>
  <c r="AE138" i="2"/>
  <c r="F69" i="7" s="1"/>
  <c r="AE136" i="2"/>
  <c r="F66" i="7" s="1"/>
  <c r="AE135" i="2"/>
  <c r="F65" i="7" s="1"/>
  <c r="AE134" i="2"/>
  <c r="F64" i="7" s="1"/>
  <c r="AE133" i="2"/>
  <c r="F62" i="7" s="1"/>
  <c r="AE130" i="2"/>
  <c r="F58" i="7" s="1"/>
  <c r="AE129" i="2"/>
  <c r="F57" i="7" s="1"/>
  <c r="AE128" i="2"/>
  <c r="F56" i="7" s="1"/>
  <c r="AE127" i="2"/>
  <c r="F55" i="7" s="1"/>
  <c r="AE126" i="2"/>
  <c r="F54" i="7" s="1"/>
  <c r="AE125" i="2"/>
  <c r="F53" i="7" s="1"/>
  <c r="AE124" i="2"/>
  <c r="F51" i="7" s="1"/>
  <c r="AE123" i="2"/>
  <c r="F50" i="7" s="1"/>
  <c r="AE122" i="2"/>
  <c r="F49" i="7" s="1"/>
  <c r="AE121" i="2"/>
  <c r="F48" i="7" s="1"/>
  <c r="AE120" i="2"/>
  <c r="F47" i="7" s="1"/>
  <c r="AE119" i="2"/>
  <c r="F46" i="7" s="1"/>
  <c r="AE104" i="2"/>
  <c r="F30" i="7" s="1"/>
  <c r="AE94" i="2"/>
  <c r="F19" i="7" s="1"/>
  <c r="AE92" i="2"/>
  <c r="F16" i="7" s="1"/>
  <c r="AE88" i="2"/>
  <c r="B79" i="7" s="1"/>
  <c r="AE87" i="2"/>
  <c r="B78" i="7" s="1"/>
  <c r="AE76" i="2"/>
  <c r="B64" i="7" s="1"/>
  <c r="AE75" i="2"/>
  <c r="B63" i="7" s="1"/>
  <c r="AE58" i="2"/>
  <c r="B42" i="7" s="1"/>
  <c r="AE57" i="2"/>
  <c r="B41" i="7" s="1"/>
  <c r="AE56" i="2"/>
  <c r="B40" i="7" s="1"/>
  <c r="AE55" i="2"/>
  <c r="B39" i="7" s="1"/>
  <c r="AE54" i="2"/>
  <c r="B38" i="7" s="1"/>
  <c r="AE44" i="2"/>
  <c r="AE34" i="2"/>
  <c r="AE33" i="2"/>
  <c r="AE32" i="2"/>
  <c r="AE31" i="2"/>
  <c r="AE30" i="2"/>
  <c r="AE29" i="2"/>
  <c r="AE28" i="2"/>
  <c r="AE27" i="2"/>
  <c r="A20" i="7"/>
  <c r="A21" i="7"/>
  <c r="A23" i="7"/>
  <c r="A24" i="7"/>
  <c r="A25" i="7"/>
  <c r="A26" i="7"/>
  <c r="A27" i="7"/>
  <c r="A29" i="7"/>
  <c r="A30" i="7"/>
  <c r="A31" i="7"/>
  <c r="A32" i="7"/>
  <c r="A34" i="7"/>
  <c r="A35" i="7"/>
  <c r="A36" i="7"/>
  <c r="L57" i="5"/>
  <c r="AQ14" i="2"/>
  <c r="R60" i="5"/>
  <c r="L71" i="5"/>
  <c r="L70" i="5"/>
  <c r="L69" i="5"/>
  <c r="L68" i="5"/>
  <c r="L67" i="5"/>
  <c r="L66" i="5"/>
  <c r="L65" i="5"/>
  <c r="L64" i="5"/>
  <c r="L63" i="5"/>
  <c r="L62" i="5"/>
  <c r="L61" i="5"/>
  <c r="L60" i="5"/>
  <c r="L59" i="5"/>
  <c r="L58" i="5"/>
  <c r="C210" i="2"/>
  <c r="C209" i="2"/>
  <c r="C208" i="2"/>
  <c r="C207" i="2"/>
  <c r="C206" i="2"/>
  <c r="C205" i="2"/>
  <c r="C204" i="2"/>
  <c r="C203" i="2"/>
  <c r="C202" i="2"/>
  <c r="C201" i="2"/>
  <c r="C200" i="2"/>
  <c r="C199" i="2"/>
  <c r="C198" i="2"/>
  <c r="C197" i="2"/>
  <c r="C196" i="2"/>
  <c r="C195" i="2"/>
  <c r="C194" i="2"/>
  <c r="C193" i="2"/>
  <c r="C192" i="2"/>
  <c r="C191" i="2"/>
  <c r="C190" i="2"/>
  <c r="C189" i="2"/>
  <c r="C188" i="2"/>
  <c r="C187" i="2"/>
  <c r="C186" i="2"/>
  <c r="C185" i="2"/>
  <c r="C184" i="2"/>
  <c r="C183" i="2"/>
  <c r="C182" i="2"/>
  <c r="C181" i="2"/>
  <c r="C180" i="2"/>
  <c r="C179" i="2"/>
  <c r="C178" i="2"/>
  <c r="C177" i="2"/>
  <c r="C176" i="2"/>
  <c r="C175" i="2"/>
  <c r="C174" i="2"/>
  <c r="C173" i="2"/>
  <c r="C172" i="2"/>
  <c r="C171" i="2"/>
  <c r="C170" i="2"/>
  <c r="C169" i="2"/>
  <c r="C168" i="2"/>
  <c r="C167" i="2"/>
  <c r="C166" i="2"/>
  <c r="C165" i="2"/>
  <c r="C164" i="2"/>
  <c r="C163" i="2"/>
  <c r="C162" i="2"/>
  <c r="C161" i="2"/>
  <c r="C160" i="2"/>
  <c r="C159" i="2"/>
  <c r="C158" i="2"/>
  <c r="C157" i="2"/>
  <c r="C156" i="2"/>
  <c r="C155" i="2"/>
  <c r="C154" i="2"/>
  <c r="C153" i="2"/>
  <c r="C152" i="2"/>
  <c r="C151" i="2"/>
  <c r="C150" i="2"/>
  <c r="C149" i="2"/>
  <c r="C148" i="2"/>
  <c r="C147" i="2"/>
  <c r="C146" i="2"/>
  <c r="C145" i="2"/>
  <c r="C144" i="2"/>
  <c r="C143" i="2"/>
  <c r="C142" i="2"/>
  <c r="C141" i="2"/>
  <c r="C140" i="2"/>
  <c r="C139" i="2"/>
  <c r="C138" i="2"/>
  <c r="C137" i="2"/>
  <c r="C136" i="2"/>
  <c r="C135" i="2"/>
  <c r="C134" i="2"/>
  <c r="C133" i="2"/>
  <c r="C132" i="2"/>
  <c r="C131" i="2"/>
  <c r="C130" i="2"/>
  <c r="C129" i="2"/>
  <c r="C128" i="2"/>
  <c r="C127" i="2"/>
  <c r="C126" i="2"/>
  <c r="C125" i="2"/>
  <c r="C108" i="2"/>
  <c r="C109" i="2" s="1"/>
  <c r="C110" i="2" s="1"/>
  <c r="C111" i="2" s="1"/>
  <c r="C112" i="2" s="1"/>
  <c r="C113" i="2" s="1"/>
  <c r="C114" i="2" s="1"/>
  <c r="C115" i="2" s="1"/>
  <c r="C116" i="2" s="1"/>
  <c r="C117" i="2" s="1"/>
  <c r="C118" i="2" s="1"/>
  <c r="C119" i="2" s="1"/>
  <c r="C120" i="2" s="1"/>
  <c r="C121" i="2" s="1"/>
  <c r="C122" i="2" s="1"/>
  <c r="C123" i="2" s="1"/>
  <c r="C124" i="2" s="1"/>
  <c r="C107" i="2"/>
  <c r="C106" i="2"/>
  <c r="C105" i="2"/>
  <c r="C104" i="2"/>
  <c r="C103" i="2"/>
  <c r="C102" i="2"/>
  <c r="C101" i="2"/>
  <c r="C100" i="2"/>
  <c r="C99" i="2"/>
  <c r="C98" i="2"/>
  <c r="C97" i="2"/>
  <c r="C96" i="2"/>
  <c r="C95" i="2"/>
  <c r="C94" i="2"/>
  <c r="C93" i="2"/>
  <c r="C92" i="2"/>
  <c r="C91" i="2"/>
  <c r="C90" i="2"/>
  <c r="C89" i="2"/>
  <c r="C88" i="2"/>
  <c r="C87" i="2"/>
  <c r="C86" i="2"/>
  <c r="C85" i="2"/>
  <c r="C84" i="2"/>
  <c r="C83" i="2"/>
  <c r="C82" i="2"/>
  <c r="C81" i="2"/>
  <c r="C80" i="2"/>
  <c r="C79" i="2"/>
  <c r="C78" i="2"/>
  <c r="C77" i="2"/>
  <c r="C58" i="2"/>
  <c r="C57" i="2"/>
  <c r="C56" i="2"/>
  <c r="C55" i="2"/>
  <c r="C54" i="2"/>
  <c r="C45" i="2"/>
  <c r="C44" i="2"/>
  <c r="C43" i="2"/>
  <c r="C34" i="2"/>
  <c r="C33" i="2"/>
  <c r="C32" i="2"/>
  <c r="C31" i="2"/>
  <c r="C30" i="2"/>
  <c r="C29" i="2"/>
  <c r="C28" i="2"/>
  <c r="C27" i="2"/>
  <c r="C26" i="2"/>
  <c r="C17" i="2"/>
  <c r="C16" i="2"/>
  <c r="C15" i="2"/>
  <c r="C14" i="2"/>
  <c r="C13" i="2"/>
  <c r="C12" i="2"/>
  <c r="C11" i="2"/>
  <c r="BI76" i="2"/>
  <c r="BH76" i="2"/>
  <c r="BG76" i="2"/>
  <c r="BF76" i="2"/>
  <c r="BE76" i="2"/>
  <c r="BD76" i="2"/>
  <c r="BC76" i="2"/>
  <c r="BB76" i="2"/>
  <c r="BA76" i="2"/>
  <c r="AZ76" i="2"/>
  <c r="AY76" i="2"/>
  <c r="AX76" i="2"/>
  <c r="AW76" i="2"/>
  <c r="AV76" i="2"/>
  <c r="AU76" i="2"/>
  <c r="AT76" i="2"/>
  <c r="AS76" i="2"/>
  <c r="AR76" i="2"/>
  <c r="AQ76" i="2"/>
  <c r="AP76" i="2"/>
  <c r="G91" i="2"/>
  <c r="E15" i="7" s="1"/>
  <c r="J175" i="2"/>
  <c r="AE175" i="2" s="1"/>
  <c r="J40" i="7" s="1"/>
  <c r="J176" i="2"/>
  <c r="AE176" i="2" s="1"/>
  <c r="J41" i="7" s="1"/>
  <c r="J174" i="2"/>
  <c r="AE174" i="2" s="1"/>
  <c r="J39" i="7" s="1"/>
  <c r="J157" i="2"/>
  <c r="AE157" i="2" s="1"/>
  <c r="J19" i="7" s="1"/>
  <c r="J158" i="2"/>
  <c r="AE158" i="2" s="1"/>
  <c r="J20" i="7" s="1"/>
  <c r="J156" i="2"/>
  <c r="AE156" i="2" s="1"/>
  <c r="J18" i="7" s="1"/>
  <c r="J145" i="2"/>
  <c r="AE145" i="2" s="1"/>
  <c r="F77" i="7" s="1"/>
  <c r="G143" i="2"/>
  <c r="E75" i="7" s="1"/>
  <c r="G144" i="2"/>
  <c r="E76" i="7" s="1"/>
  <c r="G142" i="2"/>
  <c r="E74" i="7" s="1"/>
  <c r="J143" i="2"/>
  <c r="AE143" i="2" s="1"/>
  <c r="F75" i="7" s="1"/>
  <c r="J144" i="2"/>
  <c r="AE144" i="2" s="1"/>
  <c r="F76" i="7" s="1"/>
  <c r="J142" i="2"/>
  <c r="AE142" i="2" s="1"/>
  <c r="F74" i="7" s="1"/>
  <c r="BI143" i="2"/>
  <c r="BH143" i="2"/>
  <c r="BG143" i="2"/>
  <c r="BF143" i="2"/>
  <c r="BE143" i="2"/>
  <c r="BD143" i="2"/>
  <c r="BC143" i="2"/>
  <c r="BB143" i="2"/>
  <c r="BA143" i="2"/>
  <c r="AZ143" i="2"/>
  <c r="AY143" i="2"/>
  <c r="AX143" i="2"/>
  <c r="AW143" i="2"/>
  <c r="AV143" i="2"/>
  <c r="AU143" i="2"/>
  <c r="AT143" i="2"/>
  <c r="AS143" i="2"/>
  <c r="AR143" i="2"/>
  <c r="AQ143" i="2"/>
  <c r="AP143" i="2"/>
  <c r="J141" i="2"/>
  <c r="AE141" i="2" s="1"/>
  <c r="F73" i="7" s="1"/>
  <c r="J111" i="2"/>
  <c r="AE111" i="2" s="1"/>
  <c r="F38" i="7" s="1"/>
  <c r="J112" i="2"/>
  <c r="AE112" i="2" s="1"/>
  <c r="F39" i="7" s="1"/>
  <c r="J113" i="2"/>
  <c r="AE113" i="2" s="1"/>
  <c r="F40" i="7" s="1"/>
  <c r="J114" i="2"/>
  <c r="AE114" i="2" s="1"/>
  <c r="F41" i="7" s="1"/>
  <c r="J115" i="2"/>
  <c r="AE115" i="2" s="1"/>
  <c r="F42" i="7" s="1"/>
  <c r="J116" i="2"/>
  <c r="AE116" i="2" s="1"/>
  <c r="F43" i="7" s="1"/>
  <c r="J117" i="2"/>
  <c r="AE117" i="2" s="1"/>
  <c r="F44" i="7" s="1"/>
  <c r="J118" i="2"/>
  <c r="AE118" i="2" s="1"/>
  <c r="F45" i="7" s="1"/>
  <c r="G111" i="2"/>
  <c r="E38" i="7" s="1"/>
  <c r="G113" i="2"/>
  <c r="E40" i="7" s="1"/>
  <c r="G115" i="2"/>
  <c r="E42" i="7" s="1"/>
  <c r="G117" i="2"/>
  <c r="E44" i="7" s="1"/>
  <c r="BI116" i="2"/>
  <c r="BH116" i="2"/>
  <c r="BG116" i="2"/>
  <c r="BF116" i="2"/>
  <c r="BE116" i="2"/>
  <c r="BD116" i="2"/>
  <c r="BC116" i="2"/>
  <c r="BB116" i="2"/>
  <c r="BA116" i="2"/>
  <c r="AZ116" i="2"/>
  <c r="AY116" i="2"/>
  <c r="AX116" i="2"/>
  <c r="AW116" i="2"/>
  <c r="AV116" i="2"/>
  <c r="AU116" i="2"/>
  <c r="AT116" i="2"/>
  <c r="AS116" i="2"/>
  <c r="AR116" i="2"/>
  <c r="AQ116" i="2"/>
  <c r="AP116" i="2"/>
  <c r="BI115" i="2"/>
  <c r="BH115" i="2"/>
  <c r="BG115" i="2"/>
  <c r="BF115" i="2"/>
  <c r="BE115" i="2"/>
  <c r="BD115" i="2"/>
  <c r="BC115" i="2"/>
  <c r="BB115" i="2"/>
  <c r="BA115" i="2"/>
  <c r="AZ115" i="2"/>
  <c r="AY115" i="2"/>
  <c r="AX115" i="2"/>
  <c r="AW115" i="2"/>
  <c r="AV115" i="2"/>
  <c r="AU115" i="2"/>
  <c r="AT115" i="2"/>
  <c r="AS115" i="2"/>
  <c r="AR115" i="2"/>
  <c r="AQ115" i="2"/>
  <c r="AP115" i="2"/>
  <c r="G109" i="2"/>
  <c r="E36" i="7" s="1"/>
  <c r="J110" i="2"/>
  <c r="AE110" i="2" s="1"/>
  <c r="F37" i="7" s="1"/>
  <c r="J109" i="2"/>
  <c r="AE109" i="2" s="1"/>
  <c r="F36" i="7" s="1"/>
  <c r="G107" i="2"/>
  <c r="E33" i="7" s="1"/>
  <c r="G108" i="2"/>
  <c r="E34" i="7" s="1"/>
  <c r="G106" i="2"/>
  <c r="E32" i="7" s="1"/>
  <c r="J107" i="2"/>
  <c r="AE107" i="2" s="1"/>
  <c r="F33" i="7" s="1"/>
  <c r="J108" i="2"/>
  <c r="AE108" i="2" s="1"/>
  <c r="F34" i="7" s="1"/>
  <c r="BI107" i="2"/>
  <c r="BH107" i="2"/>
  <c r="BG107" i="2"/>
  <c r="BF107" i="2"/>
  <c r="BE107" i="2"/>
  <c r="BD107" i="2"/>
  <c r="BC107" i="2"/>
  <c r="BB107" i="2"/>
  <c r="BA107" i="2"/>
  <c r="AZ107" i="2"/>
  <c r="AY107" i="2"/>
  <c r="AX107" i="2"/>
  <c r="AW107" i="2"/>
  <c r="AV107" i="2"/>
  <c r="AU107" i="2"/>
  <c r="AT107" i="2"/>
  <c r="AS107" i="2"/>
  <c r="AR107" i="2"/>
  <c r="AQ107" i="2"/>
  <c r="AP107" i="2"/>
  <c r="J106" i="2"/>
  <c r="AE106" i="2" s="1"/>
  <c r="F32" i="7" s="1"/>
  <c r="J100" i="2"/>
  <c r="AE100" i="2" s="1"/>
  <c r="F26" i="7" s="1"/>
  <c r="J101" i="2"/>
  <c r="AE101" i="2" s="1"/>
  <c r="F27" i="7" s="1"/>
  <c r="G103" i="2"/>
  <c r="E29" i="7" s="1"/>
  <c r="G102" i="2"/>
  <c r="E28" i="7" s="1"/>
  <c r="G100" i="2"/>
  <c r="E26" i="7" s="1"/>
  <c r="G101" i="2"/>
  <c r="E27" i="7" s="1"/>
  <c r="BI103" i="2"/>
  <c r="BH103" i="2"/>
  <c r="BG103" i="2"/>
  <c r="BF103" i="2"/>
  <c r="BE103" i="2"/>
  <c r="BD103" i="2"/>
  <c r="BC103" i="2"/>
  <c r="BB103" i="2"/>
  <c r="BA103" i="2"/>
  <c r="AZ103" i="2"/>
  <c r="AY103" i="2"/>
  <c r="AX103" i="2"/>
  <c r="AW103" i="2"/>
  <c r="AV103" i="2"/>
  <c r="AU103" i="2"/>
  <c r="AT103" i="2"/>
  <c r="AS103" i="2"/>
  <c r="AR103" i="2"/>
  <c r="AQ103" i="2"/>
  <c r="AP103" i="2"/>
  <c r="BI101" i="2"/>
  <c r="BH101" i="2"/>
  <c r="BG101" i="2"/>
  <c r="BF101" i="2"/>
  <c r="BE101" i="2"/>
  <c r="BD101" i="2"/>
  <c r="BC101" i="2"/>
  <c r="BB101" i="2"/>
  <c r="BA101" i="2"/>
  <c r="AZ101" i="2"/>
  <c r="AY101" i="2"/>
  <c r="AX101" i="2"/>
  <c r="AW101" i="2"/>
  <c r="AV101" i="2"/>
  <c r="AU101" i="2"/>
  <c r="AT101" i="2"/>
  <c r="AS101" i="2"/>
  <c r="AR101" i="2"/>
  <c r="AQ101" i="2"/>
  <c r="AP101" i="2"/>
  <c r="G99" i="2"/>
  <c r="E25" i="7" s="1"/>
  <c r="J97" i="2"/>
  <c r="AE97" i="2" s="1"/>
  <c r="F23" i="7" s="1"/>
  <c r="J98" i="2"/>
  <c r="AE98" i="2" s="1"/>
  <c r="F24" i="7" s="1"/>
  <c r="J99" i="2"/>
  <c r="AE99" i="2" s="1"/>
  <c r="F25" i="7" s="1"/>
  <c r="J96" i="2"/>
  <c r="AE96" i="2" s="1"/>
  <c r="F22" i="7" s="1"/>
  <c r="J81" i="2"/>
  <c r="AE81" i="2" s="1"/>
  <c r="B71" i="7" s="1"/>
  <c r="J82" i="2"/>
  <c r="AE82" i="2" s="1"/>
  <c r="B72" i="7" s="1"/>
  <c r="J83" i="2"/>
  <c r="AE83" i="2" s="1"/>
  <c r="B73" i="7" s="1"/>
  <c r="J84" i="2"/>
  <c r="AE84" i="2" s="1"/>
  <c r="B74" i="7" s="1"/>
  <c r="J85" i="2"/>
  <c r="AE85" i="2" s="1"/>
  <c r="B75" i="7" s="1"/>
  <c r="J86" i="2"/>
  <c r="AE86" i="2" s="1"/>
  <c r="B76" i="7" s="1"/>
  <c r="J80" i="2"/>
  <c r="AE80" i="2" s="1"/>
  <c r="B70" i="7" s="1"/>
  <c r="J78" i="2"/>
  <c r="AE78" i="2" s="1"/>
  <c r="B67" i="7" s="1"/>
  <c r="J79" i="2"/>
  <c r="AE79" i="2" s="1"/>
  <c r="B68" i="7" s="1"/>
  <c r="J77" i="2"/>
  <c r="AE77" i="2" s="1"/>
  <c r="B66" i="7" s="1"/>
  <c r="J71" i="2"/>
  <c r="AE71" i="2" s="1"/>
  <c r="B58" i="7" s="1"/>
  <c r="J72" i="2"/>
  <c r="AE72" i="2" s="1"/>
  <c r="B59" i="7" s="1"/>
  <c r="J73" i="2"/>
  <c r="AE73" i="2" s="1"/>
  <c r="B60" i="7" s="1"/>
  <c r="J74" i="2"/>
  <c r="AE74" i="2" s="1"/>
  <c r="B61" i="7" s="1"/>
  <c r="J70" i="2"/>
  <c r="AE70" i="2" s="1"/>
  <c r="B57" i="7" s="1"/>
  <c r="J68" i="2"/>
  <c r="AE68" i="2" s="1"/>
  <c r="B54" i="7" s="1"/>
  <c r="J69" i="2"/>
  <c r="AE69" i="2" s="1"/>
  <c r="B55" i="7" s="1"/>
  <c r="J67" i="2"/>
  <c r="AE67" i="2" s="1"/>
  <c r="B53" i="7" s="1"/>
  <c r="J60" i="2"/>
  <c r="AE60" i="2" s="1"/>
  <c r="B45" i="7" s="1"/>
  <c r="J61" i="2"/>
  <c r="AE61" i="2" s="1"/>
  <c r="B46" i="7" s="1"/>
  <c r="J62" i="2"/>
  <c r="AE62" i="2" s="1"/>
  <c r="B47" i="7" s="1"/>
  <c r="J63" i="2"/>
  <c r="AE63" i="2" s="1"/>
  <c r="B48" i="7" s="1"/>
  <c r="J64" i="2"/>
  <c r="AE64" i="2" s="1"/>
  <c r="B49" i="7" s="1"/>
  <c r="J65" i="2"/>
  <c r="AE65" i="2" s="1"/>
  <c r="B50" i="7" s="1"/>
  <c r="J66" i="2"/>
  <c r="AE66" i="2" s="1"/>
  <c r="B51" i="7" s="1"/>
  <c r="J59" i="2"/>
  <c r="AE59" i="2" s="1"/>
  <c r="B44" i="7" s="1"/>
  <c r="J11" i="2"/>
  <c r="AE11" i="2" s="1"/>
  <c r="J12" i="2"/>
  <c r="AE12" i="2" s="1"/>
  <c r="J13" i="2"/>
  <c r="AE13" i="2" s="1"/>
  <c r="J14" i="2"/>
  <c r="AE14" i="2" s="1"/>
  <c r="B17" i="7" s="1"/>
  <c r="J15" i="2"/>
  <c r="AE15" i="2" s="1"/>
  <c r="G13" i="2"/>
  <c r="A16" i="7" s="1"/>
  <c r="G14" i="2"/>
  <c r="A17" i="7" s="1"/>
  <c r="G15" i="2"/>
  <c r="A18" i="7" s="1"/>
  <c r="G11" i="2"/>
  <c r="A14" i="7" s="1"/>
  <c r="G12" i="2"/>
  <c r="A15" i="7" s="1"/>
  <c r="A13" i="7"/>
  <c r="BI14" i="2"/>
  <c r="BH14" i="2"/>
  <c r="BG14" i="2"/>
  <c r="BF14" i="2"/>
  <c r="BE14" i="2"/>
  <c r="BD14" i="2"/>
  <c r="BC14" i="2"/>
  <c r="BB14" i="2"/>
  <c r="BA14" i="2"/>
  <c r="AZ14" i="2"/>
  <c r="AY14" i="2"/>
  <c r="AX14" i="2"/>
  <c r="AW14" i="2"/>
  <c r="AV14" i="2"/>
  <c r="AU14" i="2"/>
  <c r="AT14" i="2"/>
  <c r="AS14" i="2"/>
  <c r="AR14" i="2"/>
  <c r="AP14" i="2"/>
  <c r="BI12" i="2"/>
  <c r="BH12" i="2"/>
  <c r="BG12" i="2"/>
  <c r="BF12" i="2"/>
  <c r="BE12" i="2"/>
  <c r="BD12" i="2"/>
  <c r="BC12" i="2"/>
  <c r="BB12" i="2"/>
  <c r="BA12" i="2"/>
  <c r="AZ12" i="2"/>
  <c r="AY12" i="2"/>
  <c r="AX12" i="2"/>
  <c r="AW12" i="2"/>
  <c r="AV12" i="2"/>
  <c r="AU12" i="2"/>
  <c r="AT12" i="2"/>
  <c r="AS12" i="2"/>
  <c r="AR12" i="2"/>
  <c r="AQ12" i="2"/>
  <c r="AP12" i="2"/>
  <c r="V121" i="5"/>
  <c r="J103" i="2" s="1"/>
  <c r="AE103" i="2" s="1"/>
  <c r="F29" i="7" s="1"/>
  <c r="V120" i="5"/>
  <c r="J102" i="2" s="1"/>
  <c r="AE102" i="2" s="1"/>
  <c r="F28" i="7" s="1"/>
  <c r="V102" i="5"/>
  <c r="J17" i="2" s="1"/>
  <c r="AE17" i="2" s="1"/>
  <c r="V103" i="5"/>
  <c r="J26" i="2" s="1"/>
  <c r="AE26" i="2" s="1"/>
  <c r="V104" i="5"/>
  <c r="J43" i="2" s="1"/>
  <c r="AE43" i="2" s="1"/>
  <c r="V105" i="5"/>
  <c r="J45" i="2" s="1"/>
  <c r="AE45" i="2" s="1"/>
  <c r="V107" i="5"/>
  <c r="J89" i="2" s="1"/>
  <c r="AE89" i="2" s="1"/>
  <c r="F13" i="7" s="1"/>
  <c r="V108" i="5"/>
  <c r="J90" i="2" s="1"/>
  <c r="AE90" i="2" s="1"/>
  <c r="F14" i="7" s="1"/>
  <c r="V109" i="5"/>
  <c r="J91" i="2" s="1"/>
  <c r="AE91" i="2" s="1"/>
  <c r="F15" i="7" s="1"/>
  <c r="V110" i="5"/>
  <c r="J93" i="2" s="1"/>
  <c r="AE93" i="2" s="1"/>
  <c r="F18" i="7" s="1"/>
  <c r="V111" i="5"/>
  <c r="J95" i="2" s="1"/>
  <c r="AE95" i="2" s="1"/>
  <c r="F20" i="7" s="1"/>
  <c r="V112" i="5"/>
  <c r="J105" i="2" s="1"/>
  <c r="AE105" i="2" s="1"/>
  <c r="F31" i="7" s="1"/>
  <c r="V113" i="5"/>
  <c r="J131" i="2" s="1"/>
  <c r="AE131" i="2" s="1"/>
  <c r="F60" i="7" s="1"/>
  <c r="V114" i="5"/>
  <c r="J132" i="2" s="1"/>
  <c r="AE132" i="2" s="1"/>
  <c r="F61" i="7" s="1"/>
  <c r="V117" i="5"/>
  <c r="J137" i="2" s="1"/>
  <c r="AE137" i="2" s="1"/>
  <c r="F68" i="7" s="1"/>
  <c r="V119" i="5"/>
  <c r="J139" i="2" s="1"/>
  <c r="AE139" i="2" s="1"/>
  <c r="F70" i="7" s="1"/>
  <c r="V122" i="5"/>
  <c r="J140" i="2" s="1"/>
  <c r="AE140" i="2" s="1"/>
  <c r="F71" i="7" s="1"/>
  <c r="V123" i="5"/>
  <c r="J160" i="2" s="1"/>
  <c r="AE160" i="2" s="1"/>
  <c r="J22" i="7" s="1"/>
  <c r="V124" i="5"/>
  <c r="J161" i="2" s="1"/>
  <c r="AE161" i="2" s="1"/>
  <c r="J23" i="7" s="1"/>
  <c r="V125" i="5"/>
  <c r="J167" i="2" s="1"/>
  <c r="AE167" i="2" s="1"/>
  <c r="J30" i="7" s="1"/>
  <c r="V126" i="5"/>
  <c r="J168" i="2" s="1"/>
  <c r="AE168" i="2" s="1"/>
  <c r="J31" i="7" s="1"/>
  <c r="V101" i="5"/>
  <c r="J16" i="2" s="1"/>
  <c r="AE16" i="2" s="1"/>
  <c r="H153" i="5"/>
  <c r="I153" i="5" s="1"/>
  <c r="H145" i="5"/>
  <c r="I145" i="5" s="1"/>
  <c r="H142" i="5"/>
  <c r="I142" i="5" s="1"/>
  <c r="H133" i="5"/>
  <c r="I133" i="5" s="1"/>
  <c r="H123" i="5"/>
  <c r="I123" i="5" s="1"/>
  <c r="H118" i="5"/>
  <c r="I118" i="5" s="1"/>
  <c r="H110" i="5"/>
  <c r="I110" i="5" s="1"/>
  <c r="H101" i="5"/>
  <c r="I101" i="5" s="1"/>
  <c r="H107" i="5"/>
  <c r="I107" i="5" s="1"/>
  <c r="H104" i="5"/>
  <c r="I104" i="5" s="1"/>
  <c r="P96" i="5"/>
  <c r="C71" i="2" s="1"/>
  <c r="P97" i="5"/>
  <c r="C75" i="2" s="1"/>
  <c r="P98" i="5"/>
  <c r="C67" i="2" s="1"/>
  <c r="P95" i="5"/>
  <c r="C59" i="2" s="1"/>
  <c r="S86" i="5"/>
  <c r="N86" i="5"/>
  <c r="S87" i="5" s="1"/>
  <c r="N90" i="5"/>
  <c r="N89" i="5"/>
  <c r="H10" i="1" s="1"/>
  <c r="N85" i="5"/>
  <c r="H91" i="5"/>
  <c r="H89" i="5"/>
  <c r="H85" i="5"/>
  <c r="C7" i="1"/>
  <c r="E22" i="1"/>
  <c r="D22" i="1"/>
  <c r="E21" i="1"/>
  <c r="D21" i="1"/>
  <c r="E20" i="1"/>
  <c r="D20" i="1"/>
  <c r="E19" i="1"/>
  <c r="D19" i="1"/>
  <c r="E18" i="1"/>
  <c r="D18" i="1"/>
  <c r="E17" i="1"/>
  <c r="D17" i="1"/>
  <c r="E16" i="1"/>
  <c r="D16" i="1"/>
  <c r="K8" i="3" s="1"/>
  <c r="E15" i="1"/>
  <c r="D15" i="1"/>
  <c r="E14" i="1"/>
  <c r="D14" i="1"/>
  <c r="E13" i="1"/>
  <c r="F13" i="1" s="1"/>
  <c r="D13" i="1"/>
  <c r="J75" i="5"/>
  <c r="S75" i="5" s="1"/>
  <c r="J76" i="5"/>
  <c r="S76" i="5" s="1"/>
  <c r="J78" i="5"/>
  <c r="S78" i="5" s="1"/>
  <c r="J79" i="5"/>
  <c r="S79" i="5" s="1"/>
  <c r="J81" i="5"/>
  <c r="S81" i="5" s="1"/>
  <c r="J82" i="5"/>
  <c r="S82" i="5" s="1"/>
  <c r="J83" i="5"/>
  <c r="S83" i="5" s="1"/>
  <c r="T75" i="5"/>
  <c r="T76" i="5"/>
  <c r="T77" i="5"/>
  <c r="T78" i="5"/>
  <c r="T79" i="5"/>
  <c r="T80" i="5"/>
  <c r="T81" i="5"/>
  <c r="T82" i="5"/>
  <c r="T83" i="5"/>
  <c r="T74" i="5"/>
  <c r="J74" i="5"/>
  <c r="V49" i="5"/>
  <c r="V48" i="5"/>
  <c r="V47" i="5"/>
  <c r="X48" i="5"/>
  <c r="X47" i="5"/>
  <c r="X46" i="5"/>
  <c r="T49" i="5"/>
  <c r="R49" i="5"/>
  <c r="T46" i="5"/>
  <c r="T47" i="5"/>
  <c r="V46" i="5"/>
  <c r="T48" i="5"/>
  <c r="R48" i="5"/>
  <c r="R47" i="5"/>
  <c r="R46" i="5"/>
  <c r="L47" i="5"/>
  <c r="N47" i="5"/>
  <c r="P47" i="5"/>
  <c r="L48" i="5"/>
  <c r="N48" i="5"/>
  <c r="P48" i="5"/>
  <c r="L49" i="5"/>
  <c r="N49" i="5"/>
  <c r="P49" i="5"/>
  <c r="P46" i="5"/>
  <c r="N46" i="5"/>
  <c r="L46" i="5"/>
  <c r="P40" i="5"/>
  <c r="R40" i="5"/>
  <c r="T40" i="5"/>
  <c r="V40" i="5"/>
  <c r="P41" i="5"/>
  <c r="R41" i="5"/>
  <c r="T41" i="5"/>
  <c r="P42" i="5"/>
  <c r="R42" i="5"/>
  <c r="T42" i="5"/>
  <c r="P43" i="5"/>
  <c r="R43" i="5"/>
  <c r="T43" i="5"/>
  <c r="V39" i="5"/>
  <c r="T39" i="5"/>
  <c r="R39" i="5"/>
  <c r="P39" i="5"/>
  <c r="N40" i="5"/>
  <c r="N41" i="5"/>
  <c r="N42" i="5"/>
  <c r="N43" i="5"/>
  <c r="N39" i="5"/>
  <c r="L40" i="5"/>
  <c r="L41" i="5"/>
  <c r="L42" i="5"/>
  <c r="L43" i="5"/>
  <c r="L39" i="5"/>
  <c r="C6" i="1"/>
  <c r="DN59" i="3"/>
  <c r="DN60" i="3"/>
  <c r="DN61" i="3"/>
  <c r="DN62" i="3"/>
  <c r="DN63" i="3"/>
  <c r="N4" i="5"/>
  <c r="O4" i="5"/>
  <c r="P4" i="5"/>
  <c r="Q4" i="5"/>
  <c r="R4" i="5"/>
  <c r="S4" i="5"/>
  <c r="T4" i="5"/>
  <c r="U4" i="5"/>
  <c r="V4" i="5"/>
  <c r="W4" i="5"/>
  <c r="X4" i="5"/>
  <c r="Y4" i="5"/>
  <c r="Z4" i="5"/>
  <c r="AA4" i="5"/>
  <c r="AB4" i="5"/>
  <c r="AC4" i="5"/>
  <c r="AD4" i="5"/>
  <c r="AE4" i="5"/>
  <c r="AF4" i="5"/>
  <c r="AG4" i="5"/>
  <c r="N6" i="5"/>
  <c r="O6" i="5"/>
  <c r="P6" i="5"/>
  <c r="Q6" i="5"/>
  <c r="R6" i="5"/>
  <c r="S6" i="5"/>
  <c r="T6" i="5"/>
  <c r="U6" i="5"/>
  <c r="V6" i="5"/>
  <c r="W6" i="5"/>
  <c r="X6" i="5"/>
  <c r="Y6" i="5"/>
  <c r="Z6" i="5"/>
  <c r="AA6" i="5"/>
  <c r="AB6" i="5"/>
  <c r="AC6" i="5"/>
  <c r="AD6" i="5"/>
  <c r="AE6" i="5"/>
  <c r="AF6" i="5"/>
  <c r="AG6" i="5"/>
  <c r="N7" i="5"/>
  <c r="O7" i="5"/>
  <c r="P7" i="5"/>
  <c r="Q7" i="5"/>
  <c r="R7" i="5"/>
  <c r="S7" i="5"/>
  <c r="T7" i="5"/>
  <c r="U7" i="5"/>
  <c r="V7" i="5"/>
  <c r="W7" i="5"/>
  <c r="X7" i="5"/>
  <c r="Y7" i="5"/>
  <c r="Z7" i="5"/>
  <c r="AA7" i="5"/>
  <c r="AB7" i="5"/>
  <c r="AC7" i="5"/>
  <c r="AD7" i="5"/>
  <c r="AE7" i="5"/>
  <c r="AF7" i="5"/>
  <c r="AG7" i="5"/>
  <c r="N8" i="5"/>
  <c r="O8" i="5"/>
  <c r="P8" i="5"/>
  <c r="Q8" i="5"/>
  <c r="R8" i="5"/>
  <c r="S8" i="5"/>
  <c r="T8" i="5"/>
  <c r="U8" i="5"/>
  <c r="V8" i="5"/>
  <c r="W8" i="5"/>
  <c r="X8" i="5"/>
  <c r="Y8" i="5"/>
  <c r="Z8" i="5"/>
  <c r="AA8" i="5"/>
  <c r="AB8" i="5"/>
  <c r="AC8" i="5"/>
  <c r="AD8" i="5"/>
  <c r="AE8" i="5"/>
  <c r="AF8" i="5"/>
  <c r="AG8" i="5"/>
  <c r="AG5" i="5"/>
  <c r="AF5" i="5"/>
  <c r="AE5" i="5"/>
  <c r="AD5" i="5"/>
  <c r="AC5" i="5"/>
  <c r="AB5" i="5"/>
  <c r="AA5" i="5"/>
  <c r="Z5" i="5"/>
  <c r="Y5" i="5"/>
  <c r="X5" i="5"/>
  <c r="W5" i="5"/>
  <c r="V5" i="5"/>
  <c r="U5" i="5"/>
  <c r="T5" i="5"/>
  <c r="S5" i="5"/>
  <c r="R5" i="5"/>
  <c r="Q5" i="5"/>
  <c r="P5" i="5"/>
  <c r="O5" i="5"/>
  <c r="N5" i="5"/>
  <c r="C5" i="1"/>
  <c r="Q15" i="6"/>
  <c r="Q16" i="6"/>
  <c r="Q17" i="6"/>
  <c r="Q18" i="6"/>
  <c r="Q19" i="6"/>
  <c r="Q20" i="6"/>
  <c r="Q21" i="6"/>
  <c r="Q22" i="6"/>
  <c r="Q23" i="6"/>
  <c r="P15" i="6"/>
  <c r="P16" i="6"/>
  <c r="P17" i="6"/>
  <c r="P18" i="6"/>
  <c r="P19" i="6"/>
  <c r="P20" i="6"/>
  <c r="P21" i="6"/>
  <c r="P22" i="6"/>
  <c r="P23" i="6"/>
  <c r="L15" i="6"/>
  <c r="N15" i="6"/>
  <c r="L16" i="6"/>
  <c r="N16" i="6"/>
  <c r="L17" i="6"/>
  <c r="N17" i="6"/>
  <c r="L18" i="6"/>
  <c r="N18" i="6"/>
  <c r="L19" i="6"/>
  <c r="N19" i="6"/>
  <c r="L20" i="6"/>
  <c r="N20" i="6"/>
  <c r="L21" i="6"/>
  <c r="N21" i="6"/>
  <c r="L22" i="6"/>
  <c r="N22" i="6"/>
  <c r="L23" i="6"/>
  <c r="N23" i="6"/>
  <c r="I15" i="6"/>
  <c r="J15" i="6"/>
  <c r="K15" i="6"/>
  <c r="I16" i="6"/>
  <c r="J16" i="6"/>
  <c r="K16" i="6"/>
  <c r="I17" i="6"/>
  <c r="J17" i="6"/>
  <c r="K17" i="6"/>
  <c r="I18" i="6"/>
  <c r="J18" i="6"/>
  <c r="K18" i="6"/>
  <c r="I19" i="6"/>
  <c r="J19" i="6"/>
  <c r="K19" i="6"/>
  <c r="I20" i="6"/>
  <c r="J20" i="6"/>
  <c r="K20" i="6"/>
  <c r="I21" i="6"/>
  <c r="J21" i="6"/>
  <c r="K21" i="6"/>
  <c r="I22" i="6"/>
  <c r="J22" i="6"/>
  <c r="K22" i="6"/>
  <c r="I23" i="6"/>
  <c r="J23" i="6"/>
  <c r="K23" i="6"/>
  <c r="Q14" i="6"/>
  <c r="P14" i="6"/>
  <c r="N14" i="6"/>
  <c r="L14" i="6"/>
  <c r="K14" i="6"/>
  <c r="J14" i="6"/>
  <c r="I14" i="6"/>
  <c r="E47" i="2" l="1"/>
  <c r="AI47" i="2" s="1"/>
  <c r="D48" i="2"/>
  <c r="AH48" i="2" s="1"/>
  <c r="E52" i="2"/>
  <c r="AI52" i="2" s="1"/>
  <c r="D21" i="2"/>
  <c r="AH21" i="2" s="1"/>
  <c r="E25" i="2"/>
  <c r="AI25" i="2" s="1"/>
  <c r="D46" i="2"/>
  <c r="AH46" i="2" s="1"/>
  <c r="E51" i="2"/>
  <c r="AI51" i="2" s="1"/>
  <c r="D49" i="2"/>
  <c r="AH49" i="2" s="1"/>
  <c r="E53" i="2"/>
  <c r="AI53" i="2" s="1"/>
  <c r="E46" i="2"/>
  <c r="AI46" i="2" s="1"/>
  <c r="D50" i="2"/>
  <c r="AH50" i="2" s="1"/>
  <c r="D22" i="2"/>
  <c r="AH22" i="2" s="1"/>
  <c r="D18" i="2"/>
  <c r="AH18" i="2" s="1"/>
  <c r="E23" i="2"/>
  <c r="AI23" i="2" s="1"/>
  <c r="E24" i="2"/>
  <c r="AI24" i="2" s="1"/>
  <c r="E49" i="2"/>
  <c r="AI49" i="2" s="1"/>
  <c r="E50" i="2"/>
  <c r="AI50" i="2" s="1"/>
  <c r="E22" i="2"/>
  <c r="AI22" i="2" s="1"/>
  <c r="E18" i="2"/>
  <c r="AI18" i="2" s="1"/>
  <c r="D23" i="2"/>
  <c r="AH23" i="2" s="1"/>
  <c r="E19" i="2"/>
  <c r="AI19" i="2" s="1"/>
  <c r="D20" i="2"/>
  <c r="AH20" i="2" s="1"/>
  <c r="D25" i="2"/>
  <c r="AH25" i="2" s="1"/>
  <c r="E21" i="2"/>
  <c r="AI21" i="2" s="1"/>
  <c r="D51" i="2"/>
  <c r="AH51" i="2" s="1"/>
  <c r="D19" i="2"/>
  <c r="AH19" i="2" s="1"/>
  <c r="D47" i="2"/>
  <c r="AH47" i="2" s="1"/>
  <c r="D53" i="2"/>
  <c r="AH53" i="2" s="1"/>
  <c r="E48" i="2"/>
  <c r="AI48" i="2" s="1"/>
  <c r="D52" i="2"/>
  <c r="AH52" i="2" s="1"/>
  <c r="AL52" i="2" s="1"/>
  <c r="D24" i="2"/>
  <c r="AH24" i="2" s="1"/>
  <c r="E20" i="2"/>
  <c r="AI20" i="2" s="1"/>
  <c r="D10" i="2"/>
  <c r="AH10" i="2" s="1"/>
  <c r="E10" i="2"/>
  <c r="AI10" i="2" s="1"/>
  <c r="AF76" i="2"/>
  <c r="AF12" i="2"/>
  <c r="AF143" i="2"/>
  <c r="AF116" i="2"/>
  <c r="AF115" i="2"/>
  <c r="AF101" i="2"/>
  <c r="AF14" i="2"/>
  <c r="AF103" i="2"/>
  <c r="AF107" i="2"/>
  <c r="B15" i="7"/>
  <c r="D181" i="2"/>
  <c r="E109" i="2"/>
  <c r="D189" i="2"/>
  <c r="E115" i="2"/>
  <c r="AI115" i="2" s="1"/>
  <c r="D115" i="2"/>
  <c r="AH115" i="2" s="1"/>
  <c r="E210" i="2"/>
  <c r="E181" i="2"/>
  <c r="D109" i="2"/>
  <c r="D191" i="2"/>
  <c r="E191" i="2"/>
  <c r="D201" i="2"/>
  <c r="E201" i="2"/>
  <c r="E124" i="2"/>
  <c r="E114" i="2"/>
  <c r="D182" i="2"/>
  <c r="D192" i="2"/>
  <c r="D202" i="2"/>
  <c r="D124" i="2"/>
  <c r="D114" i="2"/>
  <c r="E182" i="2"/>
  <c r="E192" i="2"/>
  <c r="E202" i="2"/>
  <c r="E123" i="2"/>
  <c r="E183" i="2"/>
  <c r="E88" i="2"/>
  <c r="E112" i="2"/>
  <c r="E194" i="2"/>
  <c r="E121" i="2"/>
  <c r="D121" i="2"/>
  <c r="D111" i="2"/>
  <c r="E185" i="2"/>
  <c r="E195" i="2"/>
  <c r="E205" i="2"/>
  <c r="E120" i="2"/>
  <c r="E110" i="2"/>
  <c r="D186" i="2"/>
  <c r="D196" i="2"/>
  <c r="D206" i="2"/>
  <c r="D183" i="2"/>
  <c r="D113" i="2"/>
  <c r="E122" i="2"/>
  <c r="D184" i="2"/>
  <c r="E184" i="2"/>
  <c r="D205" i="2"/>
  <c r="D120" i="2"/>
  <c r="E186" i="2"/>
  <c r="E196" i="2"/>
  <c r="E206" i="2"/>
  <c r="E119" i="2"/>
  <c r="D177" i="2"/>
  <c r="D187" i="2"/>
  <c r="D197" i="2"/>
  <c r="D207" i="2"/>
  <c r="D119" i="2"/>
  <c r="E177" i="2"/>
  <c r="E187" i="2"/>
  <c r="E197" i="2"/>
  <c r="E207" i="2"/>
  <c r="E113" i="2"/>
  <c r="E193" i="2"/>
  <c r="D194" i="2"/>
  <c r="D112" i="2"/>
  <c r="D195" i="2"/>
  <c r="D110" i="2"/>
  <c r="E118" i="2"/>
  <c r="D178" i="2"/>
  <c r="D188" i="2"/>
  <c r="D198" i="2"/>
  <c r="D208" i="2"/>
  <c r="D118" i="2"/>
  <c r="E178" i="2"/>
  <c r="E188" i="2"/>
  <c r="E198" i="2"/>
  <c r="E208" i="2"/>
  <c r="D209" i="2"/>
  <c r="D193" i="2"/>
  <c r="E204" i="2"/>
  <c r="E111" i="2"/>
  <c r="D179" i="2"/>
  <c r="D199" i="2"/>
  <c r="D117" i="2"/>
  <c r="E179" i="2"/>
  <c r="E189" i="2"/>
  <c r="E199" i="2"/>
  <c r="E209" i="2"/>
  <c r="E116" i="2"/>
  <c r="AI116" i="2" s="1"/>
  <c r="D180" i="2"/>
  <c r="D190" i="2"/>
  <c r="D200" i="2"/>
  <c r="D210" i="2"/>
  <c r="D203" i="2"/>
  <c r="D123" i="2"/>
  <c r="E203" i="2"/>
  <c r="D204" i="2"/>
  <c r="D122" i="2"/>
  <c r="D185" i="2"/>
  <c r="E117" i="2"/>
  <c r="D116" i="2"/>
  <c r="AH116" i="2" s="1"/>
  <c r="E180" i="2"/>
  <c r="E190" i="2"/>
  <c r="E200" i="2"/>
  <c r="E176" i="2"/>
  <c r="D160" i="2"/>
  <c r="E77" i="2"/>
  <c r="D100" i="2"/>
  <c r="E157" i="2"/>
  <c r="D81" i="2"/>
  <c r="E138" i="2"/>
  <c r="D62" i="2"/>
  <c r="E99" i="2"/>
  <c r="D83" i="2"/>
  <c r="E100" i="2"/>
  <c r="D28" i="2"/>
  <c r="D64" i="2"/>
  <c r="D84" i="2"/>
  <c r="D104" i="2"/>
  <c r="D144" i="2"/>
  <c r="D164" i="2"/>
  <c r="E17" i="2"/>
  <c r="E61" i="2"/>
  <c r="E81" i="2"/>
  <c r="E101" i="2"/>
  <c r="AI101" i="2" s="1"/>
  <c r="E141" i="2"/>
  <c r="E161" i="2"/>
  <c r="D29" i="2"/>
  <c r="D65" i="2"/>
  <c r="D85" i="2"/>
  <c r="D105" i="2"/>
  <c r="D125" i="2"/>
  <c r="D145" i="2"/>
  <c r="D165" i="2"/>
  <c r="E26" i="2"/>
  <c r="E62" i="2"/>
  <c r="E82" i="2"/>
  <c r="E102" i="2"/>
  <c r="E142" i="2"/>
  <c r="E162" i="2"/>
  <c r="D30" i="2"/>
  <c r="D66" i="2"/>
  <c r="D86" i="2"/>
  <c r="D106" i="2"/>
  <c r="D126" i="2"/>
  <c r="D146" i="2"/>
  <c r="D166" i="2"/>
  <c r="E27" i="2"/>
  <c r="E63" i="2"/>
  <c r="E83" i="2"/>
  <c r="E103" i="2"/>
  <c r="AI103" i="2" s="1"/>
  <c r="E143" i="2"/>
  <c r="AI143" i="2" s="1"/>
  <c r="E163" i="2"/>
  <c r="E15" i="2"/>
  <c r="E16" i="2"/>
  <c r="D31" i="2"/>
  <c r="D67" i="2"/>
  <c r="D87" i="2"/>
  <c r="D107" i="2"/>
  <c r="AH107" i="2" s="1"/>
  <c r="D127" i="2"/>
  <c r="D147" i="2"/>
  <c r="D167" i="2"/>
  <c r="E28" i="2"/>
  <c r="E64" i="2"/>
  <c r="E84" i="2"/>
  <c r="E104" i="2"/>
  <c r="E144" i="2"/>
  <c r="E164" i="2"/>
  <c r="D17" i="2"/>
  <c r="E79" i="2"/>
  <c r="D163" i="2"/>
  <c r="E65" i="2"/>
  <c r="D69" i="2"/>
  <c r="E31" i="2"/>
  <c r="D171" i="2"/>
  <c r="D44" i="2"/>
  <c r="D72" i="2"/>
  <c r="D92" i="2"/>
  <c r="D132" i="2"/>
  <c r="D152" i="2"/>
  <c r="D172" i="2"/>
  <c r="E33" i="2"/>
  <c r="E69" i="2"/>
  <c r="E89" i="2"/>
  <c r="E129" i="2"/>
  <c r="E149" i="2"/>
  <c r="E169" i="2"/>
  <c r="D161" i="2"/>
  <c r="D142" i="2"/>
  <c r="E140" i="2"/>
  <c r="E29" i="2"/>
  <c r="D170" i="2"/>
  <c r="E32" i="2"/>
  <c r="D45" i="2"/>
  <c r="D73" i="2"/>
  <c r="D93" i="2"/>
  <c r="D133" i="2"/>
  <c r="D153" i="2"/>
  <c r="D173" i="2"/>
  <c r="E34" i="2"/>
  <c r="E70" i="2"/>
  <c r="E90" i="2"/>
  <c r="E130" i="2"/>
  <c r="E150" i="2"/>
  <c r="E170" i="2"/>
  <c r="D140" i="2"/>
  <c r="E98" i="2"/>
  <c r="D26" i="2"/>
  <c r="E159" i="2"/>
  <c r="D103" i="2"/>
  <c r="AH103" i="2" s="1"/>
  <c r="E80" i="2"/>
  <c r="D68" i="2"/>
  <c r="D148" i="2"/>
  <c r="E145" i="2"/>
  <c r="D89" i="2"/>
  <c r="E86" i="2"/>
  <c r="D70" i="2"/>
  <c r="E107" i="2"/>
  <c r="AI107" i="2" s="1"/>
  <c r="D151" i="2"/>
  <c r="E168" i="2"/>
  <c r="D54" i="2"/>
  <c r="D74" i="2"/>
  <c r="D94" i="2"/>
  <c r="D134" i="2"/>
  <c r="D154" i="2"/>
  <c r="D174" i="2"/>
  <c r="E43" i="2"/>
  <c r="E71" i="2"/>
  <c r="E91" i="2"/>
  <c r="E131" i="2"/>
  <c r="E151" i="2"/>
  <c r="E171" i="2"/>
  <c r="E12" i="2"/>
  <c r="AI12" i="2" s="1"/>
  <c r="E14" i="2"/>
  <c r="AI14" i="2" s="1"/>
  <c r="E59" i="2"/>
  <c r="D27" i="2"/>
  <c r="E160" i="2"/>
  <c r="D108" i="2"/>
  <c r="E105" i="2"/>
  <c r="D129" i="2"/>
  <c r="E66" i="2"/>
  <c r="E67" i="2"/>
  <c r="D43" i="2"/>
  <c r="E148" i="2"/>
  <c r="D11" i="2"/>
  <c r="D55" i="2"/>
  <c r="D75" i="2"/>
  <c r="D95" i="2"/>
  <c r="D135" i="2"/>
  <c r="D155" i="2"/>
  <c r="D175" i="2"/>
  <c r="E44" i="2"/>
  <c r="E72" i="2"/>
  <c r="E92" i="2"/>
  <c r="E132" i="2"/>
  <c r="E152" i="2"/>
  <c r="E172" i="2"/>
  <c r="D60" i="2"/>
  <c r="E57" i="2"/>
  <c r="D61" i="2"/>
  <c r="D102" i="2"/>
  <c r="E139" i="2"/>
  <c r="E85" i="2"/>
  <c r="D169" i="2"/>
  <c r="E126" i="2"/>
  <c r="D130" i="2"/>
  <c r="E147" i="2"/>
  <c r="D91" i="2"/>
  <c r="E108" i="2"/>
  <c r="D12" i="2"/>
  <c r="AH12" i="2" s="1"/>
  <c r="D56" i="2"/>
  <c r="D76" i="2"/>
  <c r="AH76" i="2" s="1"/>
  <c r="D96" i="2"/>
  <c r="D136" i="2"/>
  <c r="D156" i="2"/>
  <c r="D176" i="2"/>
  <c r="E45" i="2"/>
  <c r="E73" i="2"/>
  <c r="E93" i="2"/>
  <c r="E133" i="2"/>
  <c r="E153" i="2"/>
  <c r="E173" i="2"/>
  <c r="D80" i="2"/>
  <c r="E78" i="2"/>
  <c r="D82" i="2"/>
  <c r="D143" i="2"/>
  <c r="AH143" i="2" s="1"/>
  <c r="D88" i="2"/>
  <c r="D168" i="2"/>
  <c r="E125" i="2"/>
  <c r="D33" i="2"/>
  <c r="E30" i="2"/>
  <c r="E166" i="2"/>
  <c r="D34" i="2"/>
  <c r="D150" i="2"/>
  <c r="E167" i="2"/>
  <c r="D71" i="2"/>
  <c r="E68" i="2"/>
  <c r="D13" i="2"/>
  <c r="D57" i="2"/>
  <c r="D77" i="2"/>
  <c r="D97" i="2"/>
  <c r="D137" i="2"/>
  <c r="D157" i="2"/>
  <c r="E13" i="2"/>
  <c r="E54" i="2"/>
  <c r="E74" i="2"/>
  <c r="E94" i="2"/>
  <c r="E134" i="2"/>
  <c r="E154" i="2"/>
  <c r="E174" i="2"/>
  <c r="E97" i="2"/>
  <c r="D141" i="2"/>
  <c r="E158" i="2"/>
  <c r="D149" i="2"/>
  <c r="E146" i="2"/>
  <c r="D90" i="2"/>
  <c r="E87" i="2"/>
  <c r="E128" i="2"/>
  <c r="D14" i="2"/>
  <c r="AH14" i="2" s="1"/>
  <c r="D58" i="2"/>
  <c r="D78" i="2"/>
  <c r="D98" i="2"/>
  <c r="D138" i="2"/>
  <c r="D158" i="2"/>
  <c r="E55" i="2"/>
  <c r="E75" i="2"/>
  <c r="E95" i="2"/>
  <c r="E135" i="2"/>
  <c r="E155" i="2"/>
  <c r="E175" i="2"/>
  <c r="D16" i="2"/>
  <c r="E137" i="2"/>
  <c r="D101" i="2"/>
  <c r="AH101" i="2" s="1"/>
  <c r="E58" i="2"/>
  <c r="D162" i="2"/>
  <c r="D63" i="2"/>
  <c r="E60" i="2"/>
  <c r="D32" i="2"/>
  <c r="D128" i="2"/>
  <c r="E165" i="2"/>
  <c r="E106" i="2"/>
  <c r="E127" i="2"/>
  <c r="D131" i="2"/>
  <c r="D15" i="2"/>
  <c r="D59" i="2"/>
  <c r="D79" i="2"/>
  <c r="D99" i="2"/>
  <c r="D139" i="2"/>
  <c r="D159" i="2"/>
  <c r="E11" i="2"/>
  <c r="E56" i="2"/>
  <c r="E76" i="2"/>
  <c r="AI76" i="2" s="1"/>
  <c r="E96" i="2"/>
  <c r="E136" i="2"/>
  <c r="E156" i="2"/>
  <c r="C66" i="2"/>
  <c r="C68" i="2"/>
  <c r="C60" i="2"/>
  <c r="C69" i="2"/>
  <c r="C61" i="2"/>
  <c r="C70" i="2"/>
  <c r="C63" i="2"/>
  <c r="C62" i="2"/>
  <c r="C65" i="2"/>
  <c r="C64" i="2"/>
  <c r="C76" i="2"/>
  <c r="C74" i="2"/>
  <c r="C73" i="2"/>
  <c r="C72" i="2"/>
  <c r="N91" i="5"/>
  <c r="N92" i="5" s="1"/>
  <c r="O89" i="5" s="1"/>
  <c r="H11" i="1" s="1"/>
  <c r="N87" i="5"/>
  <c r="O85" i="5" s="1"/>
  <c r="H8" i="1" s="1"/>
  <c r="S74" i="5"/>
  <c r="AL23" i="2" l="1"/>
  <c r="C9" i="7" s="1"/>
  <c r="AL47" i="2"/>
  <c r="AK47" i="2" s="1"/>
  <c r="AL19" i="2"/>
  <c r="C5" i="7" s="1"/>
  <c r="AL53" i="2"/>
  <c r="AK53" i="2" s="1"/>
  <c r="AK52" i="2"/>
  <c r="G10" i="7"/>
  <c r="AL22" i="2"/>
  <c r="AL25" i="2"/>
  <c r="AL18" i="2"/>
  <c r="AL24" i="2"/>
  <c r="AL50" i="2"/>
  <c r="AL49" i="2"/>
  <c r="AL46" i="2"/>
  <c r="AL51" i="2"/>
  <c r="AL21" i="2"/>
  <c r="AL20" i="2"/>
  <c r="AL48" i="2"/>
  <c r="P35" i="1"/>
  <c r="P34" i="1"/>
  <c r="P33" i="1"/>
  <c r="C11" i="1"/>
  <c r="C10" i="1"/>
  <c r="K2" i="2" s="1"/>
  <c r="C9" i="1"/>
  <c r="G22" i="1"/>
  <c r="G21" i="1"/>
  <c r="G20" i="1"/>
  <c r="G19" i="1"/>
  <c r="G18" i="1"/>
  <c r="G17" i="1"/>
  <c r="G16" i="1"/>
  <c r="G15" i="1"/>
  <c r="G14" i="1"/>
  <c r="G13" i="1"/>
  <c r="K5" i="3"/>
  <c r="K6" i="3"/>
  <c r="K7" i="3"/>
  <c r="K9" i="3"/>
  <c r="K10" i="3"/>
  <c r="K11" i="3"/>
  <c r="K12" i="3"/>
  <c r="K13" i="3"/>
  <c r="K14" i="3"/>
  <c r="BI165" i="2"/>
  <c r="BH165" i="2"/>
  <c r="BG165" i="2"/>
  <c r="BF165" i="2"/>
  <c r="BE165" i="2"/>
  <c r="BD165" i="2"/>
  <c r="BC165" i="2"/>
  <c r="BB165" i="2"/>
  <c r="BA165" i="2"/>
  <c r="AZ165" i="2"/>
  <c r="AY165" i="2"/>
  <c r="AX165" i="2"/>
  <c r="AW165" i="2"/>
  <c r="AV165" i="2"/>
  <c r="AU165" i="2"/>
  <c r="AT165" i="2"/>
  <c r="AS165" i="2"/>
  <c r="AR165" i="2"/>
  <c r="AQ165" i="2"/>
  <c r="AP165" i="2"/>
  <c r="AI165" i="2"/>
  <c r="AH165" i="2"/>
  <c r="AF165" i="2"/>
  <c r="BI164" i="2"/>
  <c r="BH164" i="2"/>
  <c r="BG164" i="2"/>
  <c r="BF164" i="2"/>
  <c r="BE164" i="2"/>
  <c r="BD164" i="2"/>
  <c r="BC164" i="2"/>
  <c r="BB164" i="2"/>
  <c r="BA164" i="2"/>
  <c r="AZ164" i="2"/>
  <c r="AY164" i="2"/>
  <c r="AX164" i="2"/>
  <c r="AW164" i="2"/>
  <c r="AV164" i="2"/>
  <c r="AU164" i="2"/>
  <c r="AT164" i="2"/>
  <c r="AS164" i="2"/>
  <c r="AR164" i="2"/>
  <c r="AQ164" i="2"/>
  <c r="AP164" i="2"/>
  <c r="AI164" i="2"/>
  <c r="AH164" i="2"/>
  <c r="AF164" i="2"/>
  <c r="BI163" i="2"/>
  <c r="BH163" i="2"/>
  <c r="BG163" i="2"/>
  <c r="BF163" i="2"/>
  <c r="BE163" i="2"/>
  <c r="BD163" i="2"/>
  <c r="BC163" i="2"/>
  <c r="BB163" i="2"/>
  <c r="BA163" i="2"/>
  <c r="AZ163" i="2"/>
  <c r="AY163" i="2"/>
  <c r="AX163" i="2"/>
  <c r="AW163" i="2"/>
  <c r="AV163" i="2"/>
  <c r="AU163" i="2"/>
  <c r="AT163" i="2"/>
  <c r="AS163" i="2"/>
  <c r="AR163" i="2"/>
  <c r="AQ163" i="2"/>
  <c r="AP163" i="2"/>
  <c r="AI163" i="2"/>
  <c r="AH163" i="2"/>
  <c r="AF163" i="2"/>
  <c r="BI148" i="2"/>
  <c r="BH148" i="2"/>
  <c r="BG148" i="2"/>
  <c r="BF148" i="2"/>
  <c r="BE148" i="2"/>
  <c r="BD148" i="2"/>
  <c r="BC148" i="2"/>
  <c r="BB148" i="2"/>
  <c r="BA148" i="2"/>
  <c r="AZ148" i="2"/>
  <c r="AY148" i="2"/>
  <c r="AX148" i="2"/>
  <c r="AW148" i="2"/>
  <c r="AV148" i="2"/>
  <c r="AU148" i="2"/>
  <c r="AT148" i="2"/>
  <c r="AS148" i="2"/>
  <c r="AR148" i="2"/>
  <c r="AQ148" i="2"/>
  <c r="AP148" i="2"/>
  <c r="AI148" i="2"/>
  <c r="AH148" i="2"/>
  <c r="AF148" i="2"/>
  <c r="AF167" i="2"/>
  <c r="AF104" i="2"/>
  <c r="F7" i="6"/>
  <c r="AF93" i="2"/>
  <c r="AF89" i="2"/>
  <c r="B34" i="7"/>
  <c r="H28" i="1"/>
  <c r="H26" i="1"/>
  <c r="H27" i="1"/>
  <c r="P37" i="1"/>
  <c r="I37" i="1"/>
  <c r="H37" i="1"/>
  <c r="P32" i="1"/>
  <c r="N35" i="1"/>
  <c r="N34" i="1"/>
  <c r="N33" i="1"/>
  <c r="N32" i="1"/>
  <c r="L35" i="1"/>
  <c r="L34" i="1"/>
  <c r="L33" i="1"/>
  <c r="J35" i="1"/>
  <c r="J34" i="1"/>
  <c r="J33" i="1"/>
  <c r="I35" i="1"/>
  <c r="I34" i="1"/>
  <c r="I33" i="1"/>
  <c r="G35" i="1"/>
  <c r="G34" i="1"/>
  <c r="G33" i="1"/>
  <c r="Q35" i="1"/>
  <c r="O35" i="1"/>
  <c r="M35" i="1"/>
  <c r="K35" i="1"/>
  <c r="Q34" i="1"/>
  <c r="O34" i="1"/>
  <c r="M34" i="1"/>
  <c r="K34" i="1"/>
  <c r="Q33" i="1"/>
  <c r="O33" i="1"/>
  <c r="M33" i="1"/>
  <c r="K33" i="1"/>
  <c r="L32" i="1"/>
  <c r="J32" i="1"/>
  <c r="I32" i="1"/>
  <c r="Q32" i="1"/>
  <c r="O32" i="1"/>
  <c r="M32" i="1"/>
  <c r="K32" i="1"/>
  <c r="G32" i="1"/>
  <c r="AH60" i="2"/>
  <c r="AH61" i="2"/>
  <c r="AH62" i="2"/>
  <c r="AH63" i="2"/>
  <c r="AH64" i="2"/>
  <c r="AH65" i="2"/>
  <c r="AH66" i="2"/>
  <c r="AH71" i="2"/>
  <c r="AI71" i="2"/>
  <c r="AP71" i="2"/>
  <c r="AQ71" i="2"/>
  <c r="AR71" i="2"/>
  <c r="AS71" i="2"/>
  <c r="AT71" i="2"/>
  <c r="AU71" i="2"/>
  <c r="AV71" i="2"/>
  <c r="AW71" i="2"/>
  <c r="AX71" i="2"/>
  <c r="AY71" i="2"/>
  <c r="AZ71" i="2"/>
  <c r="BA71" i="2"/>
  <c r="BB71" i="2"/>
  <c r="BC71" i="2"/>
  <c r="BD71" i="2"/>
  <c r="BE71" i="2"/>
  <c r="BF71" i="2"/>
  <c r="BG71" i="2"/>
  <c r="BH71" i="2"/>
  <c r="BI71" i="2"/>
  <c r="AH72" i="2"/>
  <c r="AI72" i="2"/>
  <c r="AP72" i="2"/>
  <c r="AQ72" i="2"/>
  <c r="AR72" i="2"/>
  <c r="AS72" i="2"/>
  <c r="AT72" i="2"/>
  <c r="AU72" i="2"/>
  <c r="AV72" i="2"/>
  <c r="AW72" i="2"/>
  <c r="AX72" i="2"/>
  <c r="AY72" i="2"/>
  <c r="AZ72" i="2"/>
  <c r="BA72" i="2"/>
  <c r="BB72" i="2"/>
  <c r="BC72" i="2"/>
  <c r="BD72" i="2"/>
  <c r="BE72" i="2"/>
  <c r="BF72" i="2"/>
  <c r="BG72" i="2"/>
  <c r="BH72" i="2"/>
  <c r="BI72" i="2"/>
  <c r="AI60" i="2"/>
  <c r="AP60" i="2"/>
  <c r="AQ60" i="2"/>
  <c r="AR60" i="2"/>
  <c r="AS60" i="2"/>
  <c r="AT60" i="2"/>
  <c r="AU60" i="2"/>
  <c r="AV60" i="2"/>
  <c r="AW60" i="2"/>
  <c r="AX60" i="2"/>
  <c r="AY60" i="2"/>
  <c r="AZ60" i="2"/>
  <c r="BA60" i="2"/>
  <c r="BB60" i="2"/>
  <c r="BC60" i="2"/>
  <c r="BD60" i="2"/>
  <c r="BE60" i="2"/>
  <c r="BF60" i="2"/>
  <c r="BG60" i="2"/>
  <c r="BH60" i="2"/>
  <c r="BI60" i="2"/>
  <c r="AI61" i="2"/>
  <c r="AP61" i="2"/>
  <c r="AQ61" i="2"/>
  <c r="AR61" i="2"/>
  <c r="AS61" i="2"/>
  <c r="AT61" i="2"/>
  <c r="AU61" i="2"/>
  <c r="AV61" i="2"/>
  <c r="AW61" i="2"/>
  <c r="AX61" i="2"/>
  <c r="AY61" i="2"/>
  <c r="AZ61" i="2"/>
  <c r="BA61" i="2"/>
  <c r="BB61" i="2"/>
  <c r="BC61" i="2"/>
  <c r="BD61" i="2"/>
  <c r="BE61" i="2"/>
  <c r="BF61" i="2"/>
  <c r="BG61" i="2"/>
  <c r="BH61" i="2"/>
  <c r="BI61" i="2"/>
  <c r="AI62" i="2"/>
  <c r="AP62" i="2"/>
  <c r="AQ62" i="2"/>
  <c r="AR62" i="2"/>
  <c r="AS62" i="2"/>
  <c r="AT62" i="2"/>
  <c r="AU62" i="2"/>
  <c r="AV62" i="2"/>
  <c r="AW62" i="2"/>
  <c r="AX62" i="2"/>
  <c r="AY62" i="2"/>
  <c r="AZ62" i="2"/>
  <c r="BA62" i="2"/>
  <c r="BB62" i="2"/>
  <c r="BC62" i="2"/>
  <c r="BD62" i="2"/>
  <c r="BE62" i="2"/>
  <c r="BF62" i="2"/>
  <c r="BG62" i="2"/>
  <c r="BH62" i="2"/>
  <c r="BI62" i="2"/>
  <c r="AI63" i="2"/>
  <c r="AP63" i="2"/>
  <c r="AQ63" i="2"/>
  <c r="AR63" i="2"/>
  <c r="AS63" i="2"/>
  <c r="AT63" i="2"/>
  <c r="AU63" i="2"/>
  <c r="AV63" i="2"/>
  <c r="AW63" i="2"/>
  <c r="AX63" i="2"/>
  <c r="AY63" i="2"/>
  <c r="AZ63" i="2"/>
  <c r="BA63" i="2"/>
  <c r="BB63" i="2"/>
  <c r="BC63" i="2"/>
  <c r="BD63" i="2"/>
  <c r="BE63" i="2"/>
  <c r="BF63" i="2"/>
  <c r="BG63" i="2"/>
  <c r="BH63" i="2"/>
  <c r="BI63" i="2"/>
  <c r="AI64" i="2"/>
  <c r="AP64" i="2"/>
  <c r="AQ64" i="2"/>
  <c r="AR64" i="2"/>
  <c r="AS64" i="2"/>
  <c r="AT64" i="2"/>
  <c r="AU64" i="2"/>
  <c r="AV64" i="2"/>
  <c r="AW64" i="2"/>
  <c r="AX64" i="2"/>
  <c r="AY64" i="2"/>
  <c r="AZ64" i="2"/>
  <c r="BA64" i="2"/>
  <c r="BB64" i="2"/>
  <c r="BC64" i="2"/>
  <c r="BD64" i="2"/>
  <c r="BE64" i="2"/>
  <c r="BF64" i="2"/>
  <c r="BG64" i="2"/>
  <c r="BH64" i="2"/>
  <c r="BI64" i="2"/>
  <c r="H36" i="1"/>
  <c r="AP178" i="2"/>
  <c r="AQ178" i="2"/>
  <c r="AR178" i="2"/>
  <c r="AS178" i="2"/>
  <c r="AT178" i="2"/>
  <c r="AU178" i="2"/>
  <c r="AV178" i="2"/>
  <c r="AW178" i="2"/>
  <c r="AX178" i="2"/>
  <c r="AY178" i="2"/>
  <c r="AZ178" i="2"/>
  <c r="BA178" i="2"/>
  <c r="BB178" i="2"/>
  <c r="BC178" i="2"/>
  <c r="BD178" i="2"/>
  <c r="BE178" i="2"/>
  <c r="BF178" i="2"/>
  <c r="BG178" i="2"/>
  <c r="BH178" i="2"/>
  <c r="BI178" i="2"/>
  <c r="AP179" i="2"/>
  <c r="AQ179" i="2"/>
  <c r="AR179" i="2"/>
  <c r="AS179" i="2"/>
  <c r="AT179" i="2"/>
  <c r="AU179" i="2"/>
  <c r="AV179" i="2"/>
  <c r="AW179" i="2"/>
  <c r="AX179" i="2"/>
  <c r="AY179" i="2"/>
  <c r="AZ179" i="2"/>
  <c r="BA179" i="2"/>
  <c r="BB179" i="2"/>
  <c r="BC179" i="2"/>
  <c r="BD179" i="2"/>
  <c r="BE179" i="2"/>
  <c r="BF179" i="2"/>
  <c r="BG179" i="2"/>
  <c r="BH179" i="2"/>
  <c r="BI179" i="2"/>
  <c r="AP180" i="2"/>
  <c r="AQ180" i="2"/>
  <c r="AR180" i="2"/>
  <c r="AS180" i="2"/>
  <c r="AT180" i="2"/>
  <c r="AU180" i="2"/>
  <c r="AV180" i="2"/>
  <c r="AW180" i="2"/>
  <c r="AX180" i="2"/>
  <c r="AY180" i="2"/>
  <c r="AZ180" i="2"/>
  <c r="BA180" i="2"/>
  <c r="BB180" i="2"/>
  <c r="BC180" i="2"/>
  <c r="BD180" i="2"/>
  <c r="BE180" i="2"/>
  <c r="BF180" i="2"/>
  <c r="BG180" i="2"/>
  <c r="BH180" i="2"/>
  <c r="BI180" i="2"/>
  <c r="AP181" i="2"/>
  <c r="AQ181" i="2"/>
  <c r="AR181" i="2"/>
  <c r="AS181" i="2"/>
  <c r="AT181" i="2"/>
  <c r="AU181" i="2"/>
  <c r="AV181" i="2"/>
  <c r="AW181" i="2"/>
  <c r="AX181" i="2"/>
  <c r="AY181" i="2"/>
  <c r="AZ181" i="2"/>
  <c r="BA181" i="2"/>
  <c r="BB181" i="2"/>
  <c r="BC181" i="2"/>
  <c r="BD181" i="2"/>
  <c r="BE181" i="2"/>
  <c r="BF181" i="2"/>
  <c r="BG181" i="2"/>
  <c r="BH181" i="2"/>
  <c r="BI181" i="2"/>
  <c r="AP182" i="2"/>
  <c r="AQ182" i="2"/>
  <c r="AR182" i="2"/>
  <c r="AS182" i="2"/>
  <c r="AT182" i="2"/>
  <c r="AU182" i="2"/>
  <c r="AV182" i="2"/>
  <c r="AW182" i="2"/>
  <c r="AX182" i="2"/>
  <c r="AY182" i="2"/>
  <c r="AZ182" i="2"/>
  <c r="BA182" i="2"/>
  <c r="BB182" i="2"/>
  <c r="BC182" i="2"/>
  <c r="BD182" i="2"/>
  <c r="BE182" i="2"/>
  <c r="BF182" i="2"/>
  <c r="BG182" i="2"/>
  <c r="BH182" i="2"/>
  <c r="BI182" i="2"/>
  <c r="AP183" i="2"/>
  <c r="AQ183" i="2"/>
  <c r="AR183" i="2"/>
  <c r="AS183" i="2"/>
  <c r="AT183" i="2"/>
  <c r="AU183" i="2"/>
  <c r="AV183" i="2"/>
  <c r="AW183" i="2"/>
  <c r="AX183" i="2"/>
  <c r="AY183" i="2"/>
  <c r="AZ183" i="2"/>
  <c r="BA183" i="2"/>
  <c r="BB183" i="2"/>
  <c r="BC183" i="2"/>
  <c r="BD183" i="2"/>
  <c r="BE183" i="2"/>
  <c r="BF183" i="2"/>
  <c r="BG183" i="2"/>
  <c r="BH183" i="2"/>
  <c r="BI183" i="2"/>
  <c r="AP184" i="2"/>
  <c r="AQ184" i="2"/>
  <c r="AR184" i="2"/>
  <c r="AS184" i="2"/>
  <c r="AT184" i="2"/>
  <c r="AU184" i="2"/>
  <c r="AV184" i="2"/>
  <c r="AW184" i="2"/>
  <c r="AX184" i="2"/>
  <c r="AY184" i="2"/>
  <c r="AZ184" i="2"/>
  <c r="BA184" i="2"/>
  <c r="BB184" i="2"/>
  <c r="BC184" i="2"/>
  <c r="BD184" i="2"/>
  <c r="BE184" i="2"/>
  <c r="BF184" i="2"/>
  <c r="BG184" i="2"/>
  <c r="BH184" i="2"/>
  <c r="BI184" i="2"/>
  <c r="AP185" i="2"/>
  <c r="AQ185" i="2"/>
  <c r="AR185" i="2"/>
  <c r="AS185" i="2"/>
  <c r="AT185" i="2"/>
  <c r="AU185" i="2"/>
  <c r="AV185" i="2"/>
  <c r="AW185" i="2"/>
  <c r="AX185" i="2"/>
  <c r="AY185" i="2"/>
  <c r="AZ185" i="2"/>
  <c r="BA185" i="2"/>
  <c r="BB185" i="2"/>
  <c r="BC185" i="2"/>
  <c r="BD185" i="2"/>
  <c r="BE185" i="2"/>
  <c r="BF185" i="2"/>
  <c r="BG185" i="2"/>
  <c r="BH185" i="2"/>
  <c r="BI185" i="2"/>
  <c r="AP186" i="2"/>
  <c r="AQ186" i="2"/>
  <c r="AR186" i="2"/>
  <c r="AS186" i="2"/>
  <c r="AT186" i="2"/>
  <c r="AU186" i="2"/>
  <c r="AV186" i="2"/>
  <c r="AW186" i="2"/>
  <c r="AX186" i="2"/>
  <c r="AY186" i="2"/>
  <c r="AZ186" i="2"/>
  <c r="BA186" i="2"/>
  <c r="BB186" i="2"/>
  <c r="BC186" i="2"/>
  <c r="BD186" i="2"/>
  <c r="BE186" i="2"/>
  <c r="BF186" i="2"/>
  <c r="BG186" i="2"/>
  <c r="BH186" i="2"/>
  <c r="BI186" i="2"/>
  <c r="AP187" i="2"/>
  <c r="AQ187" i="2"/>
  <c r="AR187" i="2"/>
  <c r="AS187" i="2"/>
  <c r="AT187" i="2"/>
  <c r="AU187" i="2"/>
  <c r="AV187" i="2"/>
  <c r="AW187" i="2"/>
  <c r="AX187" i="2"/>
  <c r="AY187" i="2"/>
  <c r="AZ187" i="2"/>
  <c r="BA187" i="2"/>
  <c r="BB187" i="2"/>
  <c r="BC187" i="2"/>
  <c r="BD187" i="2"/>
  <c r="BE187" i="2"/>
  <c r="BF187" i="2"/>
  <c r="BG187" i="2"/>
  <c r="BH187" i="2"/>
  <c r="BI187" i="2"/>
  <c r="AP188" i="2"/>
  <c r="AQ188" i="2"/>
  <c r="AR188" i="2"/>
  <c r="AS188" i="2"/>
  <c r="AT188" i="2"/>
  <c r="AU188" i="2"/>
  <c r="AV188" i="2"/>
  <c r="AW188" i="2"/>
  <c r="AX188" i="2"/>
  <c r="AY188" i="2"/>
  <c r="AZ188" i="2"/>
  <c r="BA188" i="2"/>
  <c r="BB188" i="2"/>
  <c r="BC188" i="2"/>
  <c r="BD188" i="2"/>
  <c r="BE188" i="2"/>
  <c r="BF188" i="2"/>
  <c r="BG188" i="2"/>
  <c r="BH188" i="2"/>
  <c r="BI188" i="2"/>
  <c r="AP189" i="2"/>
  <c r="AQ189" i="2"/>
  <c r="AR189" i="2"/>
  <c r="AS189" i="2"/>
  <c r="AT189" i="2"/>
  <c r="AU189" i="2"/>
  <c r="AV189" i="2"/>
  <c r="AW189" i="2"/>
  <c r="AX189" i="2"/>
  <c r="AY189" i="2"/>
  <c r="AZ189" i="2"/>
  <c r="BA189" i="2"/>
  <c r="BB189" i="2"/>
  <c r="BC189" i="2"/>
  <c r="BD189" i="2"/>
  <c r="BE189" i="2"/>
  <c r="BF189" i="2"/>
  <c r="BG189" i="2"/>
  <c r="BH189" i="2"/>
  <c r="BI189" i="2"/>
  <c r="AP190" i="2"/>
  <c r="AQ190" i="2"/>
  <c r="AR190" i="2"/>
  <c r="AS190" i="2"/>
  <c r="AT190" i="2"/>
  <c r="AU190" i="2"/>
  <c r="AV190" i="2"/>
  <c r="AW190" i="2"/>
  <c r="AX190" i="2"/>
  <c r="AY190" i="2"/>
  <c r="AZ190" i="2"/>
  <c r="BA190" i="2"/>
  <c r="BB190" i="2"/>
  <c r="BC190" i="2"/>
  <c r="BD190" i="2"/>
  <c r="BE190" i="2"/>
  <c r="BF190" i="2"/>
  <c r="BG190" i="2"/>
  <c r="BH190" i="2"/>
  <c r="BI190" i="2"/>
  <c r="AP191" i="2"/>
  <c r="AQ191" i="2"/>
  <c r="AR191" i="2"/>
  <c r="AS191" i="2"/>
  <c r="AT191" i="2"/>
  <c r="AU191" i="2"/>
  <c r="AV191" i="2"/>
  <c r="AW191" i="2"/>
  <c r="AX191" i="2"/>
  <c r="AY191" i="2"/>
  <c r="AZ191" i="2"/>
  <c r="BA191" i="2"/>
  <c r="BB191" i="2"/>
  <c r="BC191" i="2"/>
  <c r="BD191" i="2"/>
  <c r="BE191" i="2"/>
  <c r="BF191" i="2"/>
  <c r="BG191" i="2"/>
  <c r="BH191" i="2"/>
  <c r="BI191" i="2"/>
  <c r="AP192" i="2"/>
  <c r="AQ192" i="2"/>
  <c r="AR192" i="2"/>
  <c r="AS192" i="2"/>
  <c r="AT192" i="2"/>
  <c r="AU192" i="2"/>
  <c r="AV192" i="2"/>
  <c r="AW192" i="2"/>
  <c r="AX192" i="2"/>
  <c r="AY192" i="2"/>
  <c r="AZ192" i="2"/>
  <c r="BA192" i="2"/>
  <c r="BB192" i="2"/>
  <c r="BC192" i="2"/>
  <c r="BD192" i="2"/>
  <c r="BE192" i="2"/>
  <c r="BF192" i="2"/>
  <c r="BG192" i="2"/>
  <c r="BH192" i="2"/>
  <c r="BI192" i="2"/>
  <c r="AP193" i="2"/>
  <c r="AQ193" i="2"/>
  <c r="AR193" i="2"/>
  <c r="AS193" i="2"/>
  <c r="AT193" i="2"/>
  <c r="AU193" i="2"/>
  <c r="AV193" i="2"/>
  <c r="AW193" i="2"/>
  <c r="AX193" i="2"/>
  <c r="AY193" i="2"/>
  <c r="AZ193" i="2"/>
  <c r="BA193" i="2"/>
  <c r="BB193" i="2"/>
  <c r="BC193" i="2"/>
  <c r="BD193" i="2"/>
  <c r="BE193" i="2"/>
  <c r="BF193" i="2"/>
  <c r="BG193" i="2"/>
  <c r="BH193" i="2"/>
  <c r="BI193" i="2"/>
  <c r="AP194" i="2"/>
  <c r="AQ194" i="2"/>
  <c r="AR194" i="2"/>
  <c r="AS194" i="2"/>
  <c r="AT194" i="2"/>
  <c r="AU194" i="2"/>
  <c r="AV194" i="2"/>
  <c r="AW194" i="2"/>
  <c r="AX194" i="2"/>
  <c r="AY194" i="2"/>
  <c r="AZ194" i="2"/>
  <c r="BA194" i="2"/>
  <c r="BB194" i="2"/>
  <c r="BC194" i="2"/>
  <c r="BD194" i="2"/>
  <c r="BE194" i="2"/>
  <c r="BF194" i="2"/>
  <c r="BG194" i="2"/>
  <c r="BH194" i="2"/>
  <c r="BI194" i="2"/>
  <c r="AP195" i="2"/>
  <c r="AQ195" i="2"/>
  <c r="AR195" i="2"/>
  <c r="AS195" i="2"/>
  <c r="AT195" i="2"/>
  <c r="AU195" i="2"/>
  <c r="AV195" i="2"/>
  <c r="AW195" i="2"/>
  <c r="AX195" i="2"/>
  <c r="AY195" i="2"/>
  <c r="AZ195" i="2"/>
  <c r="BA195" i="2"/>
  <c r="BB195" i="2"/>
  <c r="BC195" i="2"/>
  <c r="BD195" i="2"/>
  <c r="BE195" i="2"/>
  <c r="BF195" i="2"/>
  <c r="BG195" i="2"/>
  <c r="BH195" i="2"/>
  <c r="BI195" i="2"/>
  <c r="AP196" i="2"/>
  <c r="AQ196" i="2"/>
  <c r="AR196" i="2"/>
  <c r="AS196" i="2"/>
  <c r="AT196" i="2"/>
  <c r="AU196" i="2"/>
  <c r="AV196" i="2"/>
  <c r="AW196" i="2"/>
  <c r="AX196" i="2"/>
  <c r="AY196" i="2"/>
  <c r="AZ196" i="2"/>
  <c r="BA196" i="2"/>
  <c r="BB196" i="2"/>
  <c r="BC196" i="2"/>
  <c r="BD196" i="2"/>
  <c r="BE196" i="2"/>
  <c r="BF196" i="2"/>
  <c r="BG196" i="2"/>
  <c r="BH196" i="2"/>
  <c r="BI196" i="2"/>
  <c r="AP197" i="2"/>
  <c r="AQ197" i="2"/>
  <c r="AR197" i="2"/>
  <c r="AS197" i="2"/>
  <c r="AT197" i="2"/>
  <c r="AU197" i="2"/>
  <c r="AV197" i="2"/>
  <c r="AW197" i="2"/>
  <c r="AX197" i="2"/>
  <c r="AY197" i="2"/>
  <c r="AZ197" i="2"/>
  <c r="BA197" i="2"/>
  <c r="BB197" i="2"/>
  <c r="BC197" i="2"/>
  <c r="BD197" i="2"/>
  <c r="BE197" i="2"/>
  <c r="BF197" i="2"/>
  <c r="BG197" i="2"/>
  <c r="BH197" i="2"/>
  <c r="BI197" i="2"/>
  <c r="AP198" i="2"/>
  <c r="AQ198" i="2"/>
  <c r="AR198" i="2"/>
  <c r="AS198" i="2"/>
  <c r="AT198" i="2"/>
  <c r="AU198" i="2"/>
  <c r="AV198" i="2"/>
  <c r="AW198" i="2"/>
  <c r="AX198" i="2"/>
  <c r="AY198" i="2"/>
  <c r="AZ198" i="2"/>
  <c r="BA198" i="2"/>
  <c r="BB198" i="2"/>
  <c r="BC198" i="2"/>
  <c r="BD198" i="2"/>
  <c r="BE198" i="2"/>
  <c r="BF198" i="2"/>
  <c r="BG198" i="2"/>
  <c r="BH198" i="2"/>
  <c r="BI198" i="2"/>
  <c r="AP199" i="2"/>
  <c r="AQ199" i="2"/>
  <c r="AR199" i="2"/>
  <c r="AS199" i="2"/>
  <c r="AT199" i="2"/>
  <c r="AU199" i="2"/>
  <c r="AV199" i="2"/>
  <c r="AW199" i="2"/>
  <c r="AX199" i="2"/>
  <c r="AY199" i="2"/>
  <c r="AZ199" i="2"/>
  <c r="BA199" i="2"/>
  <c r="BB199" i="2"/>
  <c r="BC199" i="2"/>
  <c r="BD199" i="2"/>
  <c r="BE199" i="2"/>
  <c r="BF199" i="2"/>
  <c r="BG199" i="2"/>
  <c r="BH199" i="2"/>
  <c r="BI199" i="2"/>
  <c r="AP200" i="2"/>
  <c r="AQ200" i="2"/>
  <c r="AR200" i="2"/>
  <c r="AS200" i="2"/>
  <c r="AT200" i="2"/>
  <c r="AU200" i="2"/>
  <c r="AV200" i="2"/>
  <c r="AW200" i="2"/>
  <c r="AX200" i="2"/>
  <c r="AY200" i="2"/>
  <c r="AZ200" i="2"/>
  <c r="BA200" i="2"/>
  <c r="BB200" i="2"/>
  <c r="BC200" i="2"/>
  <c r="BD200" i="2"/>
  <c r="BE200" i="2"/>
  <c r="BF200" i="2"/>
  <c r="BG200" i="2"/>
  <c r="BH200" i="2"/>
  <c r="BI200" i="2"/>
  <c r="AP201" i="2"/>
  <c r="AQ201" i="2"/>
  <c r="AR201" i="2"/>
  <c r="AS201" i="2"/>
  <c r="AT201" i="2"/>
  <c r="AU201" i="2"/>
  <c r="AV201" i="2"/>
  <c r="AW201" i="2"/>
  <c r="AX201" i="2"/>
  <c r="AY201" i="2"/>
  <c r="AZ201" i="2"/>
  <c r="BA201" i="2"/>
  <c r="BB201" i="2"/>
  <c r="BC201" i="2"/>
  <c r="BD201" i="2"/>
  <c r="BE201" i="2"/>
  <c r="BF201" i="2"/>
  <c r="BG201" i="2"/>
  <c r="BH201" i="2"/>
  <c r="BI201" i="2"/>
  <c r="AP202" i="2"/>
  <c r="AQ202" i="2"/>
  <c r="AR202" i="2"/>
  <c r="AS202" i="2"/>
  <c r="AT202" i="2"/>
  <c r="AU202" i="2"/>
  <c r="AV202" i="2"/>
  <c r="AW202" i="2"/>
  <c r="AX202" i="2"/>
  <c r="AY202" i="2"/>
  <c r="AZ202" i="2"/>
  <c r="BA202" i="2"/>
  <c r="BB202" i="2"/>
  <c r="BC202" i="2"/>
  <c r="BD202" i="2"/>
  <c r="BE202" i="2"/>
  <c r="BF202" i="2"/>
  <c r="BG202" i="2"/>
  <c r="BH202" i="2"/>
  <c r="BI202" i="2"/>
  <c r="AP203" i="2"/>
  <c r="AQ203" i="2"/>
  <c r="AR203" i="2"/>
  <c r="AS203" i="2"/>
  <c r="AT203" i="2"/>
  <c r="AU203" i="2"/>
  <c r="AV203" i="2"/>
  <c r="AW203" i="2"/>
  <c r="AX203" i="2"/>
  <c r="AY203" i="2"/>
  <c r="AZ203" i="2"/>
  <c r="BA203" i="2"/>
  <c r="BB203" i="2"/>
  <c r="BC203" i="2"/>
  <c r="BD203" i="2"/>
  <c r="BE203" i="2"/>
  <c r="BF203" i="2"/>
  <c r="BG203" i="2"/>
  <c r="BH203" i="2"/>
  <c r="BI203" i="2"/>
  <c r="AP204" i="2"/>
  <c r="AQ204" i="2"/>
  <c r="AR204" i="2"/>
  <c r="AS204" i="2"/>
  <c r="AT204" i="2"/>
  <c r="AU204" i="2"/>
  <c r="AV204" i="2"/>
  <c r="AW204" i="2"/>
  <c r="AX204" i="2"/>
  <c r="AY204" i="2"/>
  <c r="AZ204" i="2"/>
  <c r="BA204" i="2"/>
  <c r="BB204" i="2"/>
  <c r="BC204" i="2"/>
  <c r="BD204" i="2"/>
  <c r="BE204" i="2"/>
  <c r="BF204" i="2"/>
  <c r="BG204" i="2"/>
  <c r="BH204" i="2"/>
  <c r="BI204" i="2"/>
  <c r="AP205" i="2"/>
  <c r="AQ205" i="2"/>
  <c r="AR205" i="2"/>
  <c r="AS205" i="2"/>
  <c r="AT205" i="2"/>
  <c r="AU205" i="2"/>
  <c r="AV205" i="2"/>
  <c r="AW205" i="2"/>
  <c r="AX205" i="2"/>
  <c r="AY205" i="2"/>
  <c r="AZ205" i="2"/>
  <c r="BA205" i="2"/>
  <c r="BB205" i="2"/>
  <c r="BC205" i="2"/>
  <c r="BD205" i="2"/>
  <c r="BE205" i="2"/>
  <c r="BF205" i="2"/>
  <c r="BG205" i="2"/>
  <c r="BH205" i="2"/>
  <c r="BI205" i="2"/>
  <c r="AP206" i="2"/>
  <c r="AQ206" i="2"/>
  <c r="AR206" i="2"/>
  <c r="AS206" i="2"/>
  <c r="AT206" i="2"/>
  <c r="AU206" i="2"/>
  <c r="AV206" i="2"/>
  <c r="AW206" i="2"/>
  <c r="AX206" i="2"/>
  <c r="AY206" i="2"/>
  <c r="AZ206" i="2"/>
  <c r="BA206" i="2"/>
  <c r="BB206" i="2"/>
  <c r="BC206" i="2"/>
  <c r="BD206" i="2"/>
  <c r="BE206" i="2"/>
  <c r="BF206" i="2"/>
  <c r="BG206" i="2"/>
  <c r="BH206" i="2"/>
  <c r="BI206" i="2"/>
  <c r="AP207" i="2"/>
  <c r="AQ207" i="2"/>
  <c r="AR207" i="2"/>
  <c r="AS207" i="2"/>
  <c r="AT207" i="2"/>
  <c r="AU207" i="2"/>
  <c r="AV207" i="2"/>
  <c r="AW207" i="2"/>
  <c r="AX207" i="2"/>
  <c r="AY207" i="2"/>
  <c r="AZ207" i="2"/>
  <c r="BA207" i="2"/>
  <c r="BB207" i="2"/>
  <c r="BC207" i="2"/>
  <c r="BD207" i="2"/>
  <c r="BE207" i="2"/>
  <c r="BF207" i="2"/>
  <c r="BG207" i="2"/>
  <c r="BH207" i="2"/>
  <c r="BI207" i="2"/>
  <c r="AP208" i="2"/>
  <c r="AQ208" i="2"/>
  <c r="AR208" i="2"/>
  <c r="AS208" i="2"/>
  <c r="AT208" i="2"/>
  <c r="AU208" i="2"/>
  <c r="AV208" i="2"/>
  <c r="AW208" i="2"/>
  <c r="AX208" i="2"/>
  <c r="AY208" i="2"/>
  <c r="AZ208" i="2"/>
  <c r="BA208" i="2"/>
  <c r="BB208" i="2"/>
  <c r="BC208" i="2"/>
  <c r="BD208" i="2"/>
  <c r="BE208" i="2"/>
  <c r="BF208" i="2"/>
  <c r="BG208" i="2"/>
  <c r="BH208" i="2"/>
  <c r="BI208" i="2"/>
  <c r="AP209" i="2"/>
  <c r="AQ209" i="2"/>
  <c r="AR209" i="2"/>
  <c r="AS209" i="2"/>
  <c r="AT209" i="2"/>
  <c r="AU209" i="2"/>
  <c r="AV209" i="2"/>
  <c r="AW209" i="2"/>
  <c r="AX209" i="2"/>
  <c r="AY209" i="2"/>
  <c r="AZ209" i="2"/>
  <c r="BA209" i="2"/>
  <c r="BB209" i="2"/>
  <c r="BC209" i="2"/>
  <c r="BD209" i="2"/>
  <c r="BE209" i="2"/>
  <c r="BF209" i="2"/>
  <c r="BG209" i="2"/>
  <c r="BH209" i="2"/>
  <c r="BI209" i="2"/>
  <c r="AP210" i="2"/>
  <c r="AQ210" i="2"/>
  <c r="AR210" i="2"/>
  <c r="AS210" i="2"/>
  <c r="AT210" i="2"/>
  <c r="AU210" i="2"/>
  <c r="AV210" i="2"/>
  <c r="AW210" i="2"/>
  <c r="AX210" i="2"/>
  <c r="AY210" i="2"/>
  <c r="AZ210" i="2"/>
  <c r="BA210" i="2"/>
  <c r="BB210" i="2"/>
  <c r="BC210" i="2"/>
  <c r="BD210" i="2"/>
  <c r="BE210" i="2"/>
  <c r="BF210" i="2"/>
  <c r="BG210" i="2"/>
  <c r="BH210" i="2"/>
  <c r="BI210" i="2"/>
  <c r="BI177" i="2"/>
  <c r="BH177" i="2"/>
  <c r="BG177" i="2"/>
  <c r="BF177" i="2"/>
  <c r="BE177" i="2"/>
  <c r="BD177" i="2"/>
  <c r="BC177" i="2"/>
  <c r="BB177" i="2"/>
  <c r="BA177" i="2"/>
  <c r="AZ177" i="2"/>
  <c r="AY177" i="2"/>
  <c r="AX177" i="2"/>
  <c r="AW177" i="2"/>
  <c r="AV177" i="2"/>
  <c r="AU177" i="2"/>
  <c r="AT177" i="2"/>
  <c r="AS177" i="2"/>
  <c r="AR177" i="2"/>
  <c r="AQ177" i="2"/>
  <c r="AP177" i="2"/>
  <c r="AE178" i="2"/>
  <c r="AH178" i="2"/>
  <c r="AI178" i="2"/>
  <c r="AE179" i="2"/>
  <c r="AH179" i="2"/>
  <c r="AI179" i="2"/>
  <c r="AE180" i="2"/>
  <c r="AH180" i="2"/>
  <c r="AI180" i="2"/>
  <c r="AE181" i="2"/>
  <c r="AH181" i="2"/>
  <c r="AI181" i="2"/>
  <c r="AE182" i="2"/>
  <c r="AH182" i="2"/>
  <c r="AI182" i="2"/>
  <c r="AE183" i="2"/>
  <c r="AH183" i="2"/>
  <c r="AI183" i="2"/>
  <c r="AE184" i="2"/>
  <c r="AH184" i="2"/>
  <c r="AI184" i="2"/>
  <c r="AE185" i="2"/>
  <c r="AH185" i="2"/>
  <c r="AI185" i="2"/>
  <c r="AE186" i="2"/>
  <c r="AH186" i="2"/>
  <c r="AI186" i="2"/>
  <c r="AE187" i="2"/>
  <c r="AH187" i="2"/>
  <c r="AI187" i="2"/>
  <c r="AE188" i="2"/>
  <c r="AH188" i="2"/>
  <c r="AI188" i="2"/>
  <c r="AE189" i="2"/>
  <c r="AH189" i="2"/>
  <c r="AI189" i="2"/>
  <c r="AE190" i="2"/>
  <c r="AH190" i="2"/>
  <c r="AI190" i="2"/>
  <c r="AE191" i="2"/>
  <c r="AH191" i="2"/>
  <c r="AI191" i="2"/>
  <c r="AE192" i="2"/>
  <c r="AH192" i="2"/>
  <c r="AI192" i="2"/>
  <c r="AE193" i="2"/>
  <c r="AH193" i="2"/>
  <c r="AI193" i="2"/>
  <c r="AE194" i="2"/>
  <c r="AH194" i="2"/>
  <c r="AI194" i="2"/>
  <c r="AE195" i="2"/>
  <c r="AH195" i="2"/>
  <c r="AI195" i="2"/>
  <c r="AE196" i="2"/>
  <c r="AH196" i="2"/>
  <c r="AI196" i="2"/>
  <c r="AE197" i="2"/>
  <c r="AH197" i="2"/>
  <c r="AI197" i="2"/>
  <c r="AE198" i="2"/>
  <c r="AH198" i="2"/>
  <c r="AI198" i="2"/>
  <c r="AE199" i="2"/>
  <c r="AH199" i="2"/>
  <c r="AI199" i="2"/>
  <c r="AE200" i="2"/>
  <c r="AH200" i="2"/>
  <c r="AI200" i="2"/>
  <c r="AE201" i="2"/>
  <c r="AH201" i="2"/>
  <c r="AI201" i="2"/>
  <c r="AE202" i="2"/>
  <c r="AH202" i="2"/>
  <c r="AI202" i="2"/>
  <c r="AE203" i="2"/>
  <c r="AH203" i="2"/>
  <c r="AI203" i="2"/>
  <c r="AE204" i="2"/>
  <c r="AH204" i="2"/>
  <c r="AI204" i="2"/>
  <c r="AE205" i="2"/>
  <c r="AH205" i="2"/>
  <c r="AI205" i="2"/>
  <c r="AE206" i="2"/>
  <c r="AH206" i="2"/>
  <c r="AI206" i="2"/>
  <c r="AE207" i="2"/>
  <c r="AH207" i="2"/>
  <c r="AI207" i="2"/>
  <c r="AE208" i="2"/>
  <c r="AH208" i="2"/>
  <c r="AI208" i="2"/>
  <c r="AE209" i="2"/>
  <c r="AH209" i="2"/>
  <c r="AI209" i="2"/>
  <c r="AE210" i="2"/>
  <c r="AH210" i="2"/>
  <c r="AI210" i="2"/>
  <c r="AI177" i="2"/>
  <c r="AH177" i="2"/>
  <c r="AE177" i="2"/>
  <c r="AH11" i="2"/>
  <c r="AI11" i="2"/>
  <c r="AI13" i="2"/>
  <c r="AH15" i="2"/>
  <c r="AI15" i="2"/>
  <c r="AH16" i="2"/>
  <c r="AI16" i="2"/>
  <c r="AH17" i="2"/>
  <c r="AI17" i="2"/>
  <c r="AH26" i="2"/>
  <c r="AI26" i="2"/>
  <c r="AH27" i="2"/>
  <c r="AI27" i="2"/>
  <c r="AH28" i="2"/>
  <c r="AI28" i="2"/>
  <c r="AH29" i="2"/>
  <c r="AI29" i="2"/>
  <c r="AH30" i="2"/>
  <c r="AI30" i="2"/>
  <c r="AH31" i="2"/>
  <c r="AI31" i="2"/>
  <c r="AH32" i="2"/>
  <c r="AI32" i="2"/>
  <c r="AH33" i="2"/>
  <c r="AI33" i="2"/>
  <c r="AH34" i="2"/>
  <c r="AI34" i="2"/>
  <c r="AH43" i="2"/>
  <c r="AI43" i="2"/>
  <c r="AH44" i="2"/>
  <c r="AI44" i="2"/>
  <c r="AH45" i="2"/>
  <c r="AI45" i="2"/>
  <c r="AH54" i="2"/>
  <c r="AI54" i="2"/>
  <c r="AH55" i="2"/>
  <c r="AI55" i="2"/>
  <c r="AH56" i="2"/>
  <c r="AI56" i="2"/>
  <c r="AH57" i="2"/>
  <c r="AI57" i="2"/>
  <c r="AH58" i="2"/>
  <c r="AI58" i="2"/>
  <c r="AH59" i="2"/>
  <c r="AI59" i="2"/>
  <c r="AI65" i="2"/>
  <c r="AI66" i="2"/>
  <c r="AH67" i="2"/>
  <c r="AI67" i="2"/>
  <c r="AH68" i="2"/>
  <c r="AI68" i="2"/>
  <c r="AH69" i="2"/>
  <c r="AI69" i="2"/>
  <c r="AH70" i="2"/>
  <c r="AI70" i="2"/>
  <c r="AH73" i="2"/>
  <c r="AI73" i="2"/>
  <c r="AH74" i="2"/>
  <c r="AI74" i="2"/>
  <c r="AH75" i="2"/>
  <c r="AI75" i="2"/>
  <c r="AH77" i="2"/>
  <c r="AI77" i="2"/>
  <c r="AH78" i="2"/>
  <c r="AI78" i="2"/>
  <c r="AH79" i="2"/>
  <c r="AI79" i="2"/>
  <c r="AH80" i="2"/>
  <c r="AI80" i="2"/>
  <c r="AH81" i="2"/>
  <c r="AI81" i="2"/>
  <c r="AH82" i="2"/>
  <c r="AI82" i="2"/>
  <c r="AH83" i="2"/>
  <c r="AI83" i="2"/>
  <c r="AH84" i="2"/>
  <c r="AI84" i="2"/>
  <c r="AH85" i="2"/>
  <c r="AI85" i="2"/>
  <c r="AH86" i="2"/>
  <c r="AI86" i="2"/>
  <c r="AH87" i="2"/>
  <c r="AI87" i="2"/>
  <c r="AH88" i="2"/>
  <c r="AI88" i="2"/>
  <c r="AH89" i="2"/>
  <c r="AI89" i="2"/>
  <c r="AH90" i="2"/>
  <c r="AI90" i="2"/>
  <c r="AH91" i="2"/>
  <c r="AI91" i="2"/>
  <c r="AH92" i="2"/>
  <c r="AI92" i="2"/>
  <c r="AH93" i="2"/>
  <c r="AI93" i="2"/>
  <c r="AH94" i="2"/>
  <c r="AI94" i="2"/>
  <c r="AH95" i="2"/>
  <c r="AI95" i="2"/>
  <c r="AH96" i="2"/>
  <c r="AI96" i="2"/>
  <c r="AH97" i="2"/>
  <c r="AI97" i="2"/>
  <c r="AH98" i="2"/>
  <c r="AI98" i="2"/>
  <c r="AH99" i="2"/>
  <c r="AI99" i="2"/>
  <c r="AH100" i="2"/>
  <c r="AI100" i="2"/>
  <c r="AH102" i="2"/>
  <c r="AI102" i="2"/>
  <c r="AH104" i="2"/>
  <c r="AI104" i="2"/>
  <c r="AH105" i="2"/>
  <c r="AI105" i="2"/>
  <c r="AH106" i="2"/>
  <c r="AI106" i="2"/>
  <c r="AH108" i="2"/>
  <c r="AI108" i="2"/>
  <c r="AH109" i="2"/>
  <c r="AI109" i="2"/>
  <c r="AH110" i="2"/>
  <c r="AI110" i="2"/>
  <c r="AH111" i="2"/>
  <c r="AI111" i="2"/>
  <c r="AH112" i="2"/>
  <c r="AI112" i="2"/>
  <c r="AH113" i="2"/>
  <c r="AI113" i="2"/>
  <c r="AH114" i="2"/>
  <c r="AI114" i="2"/>
  <c r="AH117" i="2"/>
  <c r="AI117" i="2"/>
  <c r="AH118" i="2"/>
  <c r="AI118" i="2"/>
  <c r="AH119" i="2"/>
  <c r="AI119" i="2"/>
  <c r="AH120" i="2"/>
  <c r="AI120" i="2"/>
  <c r="AH121" i="2"/>
  <c r="AI121" i="2"/>
  <c r="AH122" i="2"/>
  <c r="AI122" i="2"/>
  <c r="AH123" i="2"/>
  <c r="AI123" i="2"/>
  <c r="AH124" i="2"/>
  <c r="AI124" i="2"/>
  <c r="AH125" i="2"/>
  <c r="AI125" i="2"/>
  <c r="AH126" i="2"/>
  <c r="AI126" i="2"/>
  <c r="AH127" i="2"/>
  <c r="AI127" i="2"/>
  <c r="AH128" i="2"/>
  <c r="AI128" i="2"/>
  <c r="AH129" i="2"/>
  <c r="AI129" i="2"/>
  <c r="AI130" i="2"/>
  <c r="AH131" i="2"/>
  <c r="AI131" i="2"/>
  <c r="AH132" i="2"/>
  <c r="AI132" i="2"/>
  <c r="AH133" i="2"/>
  <c r="AI133" i="2"/>
  <c r="AH134" i="2"/>
  <c r="AI134" i="2"/>
  <c r="AH135" i="2"/>
  <c r="AI135" i="2"/>
  <c r="AH136" i="2"/>
  <c r="AI136" i="2"/>
  <c r="AH137" i="2"/>
  <c r="AI137" i="2"/>
  <c r="AH138" i="2"/>
  <c r="AI138" i="2"/>
  <c r="AH139" i="2"/>
  <c r="AI139" i="2"/>
  <c r="AH140" i="2"/>
  <c r="AI140" i="2"/>
  <c r="AH141" i="2"/>
  <c r="AI141" i="2"/>
  <c r="AH142" i="2"/>
  <c r="AI142" i="2"/>
  <c r="AH144" i="2"/>
  <c r="AI144" i="2"/>
  <c r="AH145" i="2"/>
  <c r="AI145" i="2"/>
  <c r="AH146" i="2"/>
  <c r="AI146" i="2"/>
  <c r="AH147" i="2"/>
  <c r="AI147" i="2"/>
  <c r="AH149" i="2"/>
  <c r="AI149" i="2"/>
  <c r="AH150" i="2"/>
  <c r="AI150" i="2"/>
  <c r="AH151" i="2"/>
  <c r="AI151" i="2"/>
  <c r="AH152" i="2"/>
  <c r="AI152" i="2"/>
  <c r="AH153" i="2"/>
  <c r="AI153" i="2"/>
  <c r="AH154" i="2"/>
  <c r="AI154" i="2"/>
  <c r="AH155" i="2"/>
  <c r="AI155" i="2"/>
  <c r="AH156" i="2"/>
  <c r="AI156" i="2"/>
  <c r="AH157" i="2"/>
  <c r="AI157" i="2"/>
  <c r="AH158" i="2"/>
  <c r="AI158" i="2"/>
  <c r="AH159" i="2"/>
  <c r="AI159" i="2"/>
  <c r="AH160" i="2"/>
  <c r="AI160" i="2"/>
  <c r="AH161" i="2"/>
  <c r="AI161" i="2"/>
  <c r="AH162" i="2"/>
  <c r="AI162" i="2"/>
  <c r="AH166" i="2"/>
  <c r="AI166" i="2"/>
  <c r="AH167" i="2"/>
  <c r="AI167" i="2"/>
  <c r="AH168" i="2"/>
  <c r="AI168" i="2"/>
  <c r="AH169" i="2"/>
  <c r="AI169" i="2"/>
  <c r="AH170" i="2"/>
  <c r="AI170" i="2"/>
  <c r="AH171" i="2"/>
  <c r="AI171" i="2"/>
  <c r="AH172" i="2"/>
  <c r="AI172" i="2"/>
  <c r="AH173" i="2"/>
  <c r="AI173" i="2"/>
  <c r="AH174" i="2"/>
  <c r="AI174" i="2"/>
  <c r="AH175" i="2"/>
  <c r="AI175" i="2"/>
  <c r="AH176" i="2"/>
  <c r="AI176" i="2"/>
  <c r="B26" i="3"/>
  <c r="B27" i="3"/>
  <c r="B28" i="3"/>
  <c r="B29" i="3"/>
  <c r="B30" i="3"/>
  <c r="B31" i="3"/>
  <c r="B32" i="3"/>
  <c r="B33" i="3"/>
  <c r="B34" i="3"/>
  <c r="B25" i="3"/>
  <c r="B16" i="3"/>
  <c r="B17" i="3"/>
  <c r="B18" i="3"/>
  <c r="B19" i="3"/>
  <c r="B20" i="3"/>
  <c r="B21" i="3"/>
  <c r="B22" i="3"/>
  <c r="B23" i="3"/>
  <c r="B24" i="3"/>
  <c r="B15" i="3"/>
  <c r="B6" i="3"/>
  <c r="AF91" i="2" s="1"/>
  <c r="B7" i="3"/>
  <c r="AF105" i="2" s="1"/>
  <c r="B8" i="3"/>
  <c r="B9" i="3"/>
  <c r="AF102" i="2" s="1"/>
  <c r="B10" i="3"/>
  <c r="B11" i="3"/>
  <c r="B12" i="3"/>
  <c r="B13" i="3"/>
  <c r="B14" i="3"/>
  <c r="B5" i="3"/>
  <c r="AF16" i="2" s="1"/>
  <c r="AF175" i="2"/>
  <c r="AF174" i="2"/>
  <c r="AF81" i="2"/>
  <c r="AF82" i="2"/>
  <c r="AF83" i="2"/>
  <c r="AF84" i="2"/>
  <c r="AF85" i="2"/>
  <c r="AF80" i="2"/>
  <c r="AF142" i="2"/>
  <c r="AF144" i="2"/>
  <c r="AF145" i="2"/>
  <c r="AF141" i="2"/>
  <c r="AF78" i="2"/>
  <c r="AF77" i="2"/>
  <c r="AF157" i="2"/>
  <c r="AF158" i="2"/>
  <c r="AF108" i="2"/>
  <c r="AF106" i="2"/>
  <c r="AF100" i="2"/>
  <c r="AF98" i="2"/>
  <c r="AF99" i="2"/>
  <c r="AF111" i="2"/>
  <c r="AF112" i="2"/>
  <c r="AF113" i="2"/>
  <c r="AF114" i="2"/>
  <c r="AF117" i="2"/>
  <c r="AF118" i="2"/>
  <c r="AF109" i="2"/>
  <c r="BI73" i="2"/>
  <c r="BH73" i="2"/>
  <c r="BG73" i="2"/>
  <c r="BF73" i="2"/>
  <c r="BE73" i="2"/>
  <c r="BD73" i="2"/>
  <c r="BC73" i="2"/>
  <c r="BB73" i="2"/>
  <c r="BA73" i="2"/>
  <c r="AZ73" i="2"/>
  <c r="AY73" i="2"/>
  <c r="AX73" i="2"/>
  <c r="AW73" i="2"/>
  <c r="AV73" i="2"/>
  <c r="AU73" i="2"/>
  <c r="AT73" i="2"/>
  <c r="AS73" i="2"/>
  <c r="AR73" i="2"/>
  <c r="AQ73" i="2"/>
  <c r="AP73" i="2"/>
  <c r="BI68" i="2"/>
  <c r="BH68" i="2"/>
  <c r="BG68" i="2"/>
  <c r="BF68" i="2"/>
  <c r="BE68" i="2"/>
  <c r="BD68" i="2"/>
  <c r="BC68" i="2"/>
  <c r="BB68" i="2"/>
  <c r="BA68" i="2"/>
  <c r="AZ68" i="2"/>
  <c r="AY68" i="2"/>
  <c r="AX68" i="2"/>
  <c r="AW68" i="2"/>
  <c r="AV68" i="2"/>
  <c r="AU68" i="2"/>
  <c r="AT68" i="2"/>
  <c r="AS68" i="2"/>
  <c r="AR68" i="2"/>
  <c r="AQ68" i="2"/>
  <c r="AP68" i="2"/>
  <c r="E22" i="6"/>
  <c r="B13" i="7"/>
  <c r="AF54" i="2"/>
  <c r="AF55" i="2"/>
  <c r="AF56" i="2"/>
  <c r="AF88" i="2"/>
  <c r="AF92" i="2"/>
  <c r="AF94" i="2"/>
  <c r="AF119" i="2"/>
  <c r="AF120" i="2"/>
  <c r="AF121" i="2"/>
  <c r="AF122" i="2"/>
  <c r="AF123" i="2"/>
  <c r="AF124" i="2"/>
  <c r="AF125" i="2"/>
  <c r="AF126" i="2"/>
  <c r="AF127" i="2"/>
  <c r="AF128" i="2"/>
  <c r="AF129" i="2"/>
  <c r="AF130" i="2"/>
  <c r="AF133" i="2"/>
  <c r="AF134" i="2"/>
  <c r="AF136" i="2"/>
  <c r="AF138" i="2"/>
  <c r="AF146" i="2"/>
  <c r="AF147" i="2"/>
  <c r="AF149" i="2"/>
  <c r="AF150" i="2"/>
  <c r="AF151" i="2"/>
  <c r="AF152" i="2"/>
  <c r="AF153" i="2"/>
  <c r="AF154" i="2"/>
  <c r="AF155" i="2"/>
  <c r="AF159" i="2"/>
  <c r="AF162" i="2"/>
  <c r="AF166" i="2"/>
  <c r="AF169" i="2"/>
  <c r="AF170" i="2"/>
  <c r="AF171" i="2"/>
  <c r="AF172" i="2"/>
  <c r="AF173" i="2"/>
  <c r="AP10" i="2"/>
  <c r="AP28" i="2"/>
  <c r="AP59" i="2"/>
  <c r="AQ59" i="2"/>
  <c r="AR59" i="2"/>
  <c r="AS59" i="2"/>
  <c r="AT59" i="2"/>
  <c r="AU59" i="2"/>
  <c r="AV59" i="2"/>
  <c r="AW59" i="2"/>
  <c r="AX59" i="2"/>
  <c r="AY59" i="2"/>
  <c r="AZ59" i="2"/>
  <c r="BA59" i="2"/>
  <c r="BB59" i="2"/>
  <c r="BC59" i="2"/>
  <c r="BD59" i="2"/>
  <c r="BE59" i="2"/>
  <c r="BF59" i="2"/>
  <c r="BG59" i="2"/>
  <c r="BH59" i="2"/>
  <c r="BI59" i="2"/>
  <c r="AP65" i="2"/>
  <c r="AQ65" i="2"/>
  <c r="AR65" i="2"/>
  <c r="AS65" i="2"/>
  <c r="AT65" i="2"/>
  <c r="AU65" i="2"/>
  <c r="AV65" i="2"/>
  <c r="AW65" i="2"/>
  <c r="AX65" i="2"/>
  <c r="AY65" i="2"/>
  <c r="AZ65" i="2"/>
  <c r="BA65" i="2"/>
  <c r="BB65" i="2"/>
  <c r="BC65" i="2"/>
  <c r="BD65" i="2"/>
  <c r="BE65" i="2"/>
  <c r="BF65" i="2"/>
  <c r="BG65" i="2"/>
  <c r="BH65" i="2"/>
  <c r="BI65" i="2"/>
  <c r="AP66" i="2"/>
  <c r="AQ66" i="2"/>
  <c r="AR66" i="2"/>
  <c r="AS66" i="2"/>
  <c r="AT66" i="2"/>
  <c r="AU66" i="2"/>
  <c r="AV66" i="2"/>
  <c r="AW66" i="2"/>
  <c r="AX66" i="2"/>
  <c r="AY66" i="2"/>
  <c r="AZ66" i="2"/>
  <c r="BA66" i="2"/>
  <c r="BB66" i="2"/>
  <c r="BC66" i="2"/>
  <c r="BD66" i="2"/>
  <c r="BE66" i="2"/>
  <c r="BF66" i="2"/>
  <c r="BG66" i="2"/>
  <c r="BH66" i="2"/>
  <c r="BI66" i="2"/>
  <c r="AP67" i="2"/>
  <c r="AQ67" i="2"/>
  <c r="AR67" i="2"/>
  <c r="AS67" i="2"/>
  <c r="AT67" i="2"/>
  <c r="AU67" i="2"/>
  <c r="AV67" i="2"/>
  <c r="AW67" i="2"/>
  <c r="AX67" i="2"/>
  <c r="AY67" i="2"/>
  <c r="AZ67" i="2"/>
  <c r="BA67" i="2"/>
  <c r="BB67" i="2"/>
  <c r="BC67" i="2"/>
  <c r="BD67" i="2"/>
  <c r="BE67" i="2"/>
  <c r="BF67" i="2"/>
  <c r="BG67" i="2"/>
  <c r="BH67" i="2"/>
  <c r="BI67" i="2"/>
  <c r="AP69" i="2"/>
  <c r="AQ69" i="2"/>
  <c r="AR69" i="2"/>
  <c r="AS69" i="2"/>
  <c r="AT69" i="2"/>
  <c r="AU69" i="2"/>
  <c r="AV69" i="2"/>
  <c r="AW69" i="2"/>
  <c r="AX69" i="2"/>
  <c r="AY69" i="2"/>
  <c r="AZ69" i="2"/>
  <c r="BA69" i="2"/>
  <c r="BB69" i="2"/>
  <c r="BC69" i="2"/>
  <c r="BD69" i="2"/>
  <c r="BE69" i="2"/>
  <c r="BF69" i="2"/>
  <c r="BG69" i="2"/>
  <c r="BH69" i="2"/>
  <c r="BI69" i="2"/>
  <c r="AP70" i="2"/>
  <c r="AQ70" i="2"/>
  <c r="AR70" i="2"/>
  <c r="AS70" i="2"/>
  <c r="AT70" i="2"/>
  <c r="AU70" i="2"/>
  <c r="AV70" i="2"/>
  <c r="AW70" i="2"/>
  <c r="AX70" i="2"/>
  <c r="AY70" i="2"/>
  <c r="AZ70" i="2"/>
  <c r="BA70" i="2"/>
  <c r="BB70" i="2"/>
  <c r="BC70" i="2"/>
  <c r="BD70" i="2"/>
  <c r="BE70" i="2"/>
  <c r="BF70" i="2"/>
  <c r="BG70" i="2"/>
  <c r="BH70" i="2"/>
  <c r="BI70" i="2"/>
  <c r="AP74" i="2"/>
  <c r="AQ74" i="2"/>
  <c r="AR74" i="2"/>
  <c r="AS74" i="2"/>
  <c r="AT74" i="2"/>
  <c r="AU74" i="2"/>
  <c r="AV74" i="2"/>
  <c r="AW74" i="2"/>
  <c r="AX74" i="2"/>
  <c r="AY74" i="2"/>
  <c r="AZ74" i="2"/>
  <c r="BA74" i="2"/>
  <c r="BB74" i="2"/>
  <c r="BC74" i="2"/>
  <c r="BD74" i="2"/>
  <c r="BE74" i="2"/>
  <c r="BF74" i="2"/>
  <c r="BG74" i="2"/>
  <c r="BH74" i="2"/>
  <c r="BI74" i="2"/>
  <c r="AP75" i="2"/>
  <c r="AQ75" i="2"/>
  <c r="AR75" i="2"/>
  <c r="AS75" i="2"/>
  <c r="AT75" i="2"/>
  <c r="AU75" i="2"/>
  <c r="AV75" i="2"/>
  <c r="AW75" i="2"/>
  <c r="AX75" i="2"/>
  <c r="AY75" i="2"/>
  <c r="AZ75" i="2"/>
  <c r="BA75" i="2"/>
  <c r="BB75" i="2"/>
  <c r="BC75" i="2"/>
  <c r="BD75" i="2"/>
  <c r="BE75" i="2"/>
  <c r="BF75" i="2"/>
  <c r="BG75" i="2"/>
  <c r="BH75" i="2"/>
  <c r="BI75" i="2"/>
  <c r="AP77" i="2"/>
  <c r="AQ77" i="2"/>
  <c r="AR77" i="2"/>
  <c r="AS77" i="2"/>
  <c r="AT77" i="2"/>
  <c r="AU77" i="2"/>
  <c r="AV77" i="2"/>
  <c r="AW77" i="2"/>
  <c r="AX77" i="2"/>
  <c r="AY77" i="2"/>
  <c r="AZ77" i="2"/>
  <c r="BA77" i="2"/>
  <c r="BB77" i="2"/>
  <c r="BC77" i="2"/>
  <c r="BD77" i="2"/>
  <c r="BE77" i="2"/>
  <c r="BF77" i="2"/>
  <c r="BG77" i="2"/>
  <c r="BH77" i="2"/>
  <c r="BI77" i="2"/>
  <c r="AP78" i="2"/>
  <c r="AQ78" i="2"/>
  <c r="AR78" i="2"/>
  <c r="AS78" i="2"/>
  <c r="AT78" i="2"/>
  <c r="AU78" i="2"/>
  <c r="AV78" i="2"/>
  <c r="AW78" i="2"/>
  <c r="AX78" i="2"/>
  <c r="AY78" i="2"/>
  <c r="AZ78" i="2"/>
  <c r="BA78" i="2"/>
  <c r="BB78" i="2"/>
  <c r="BC78" i="2"/>
  <c r="BD78" i="2"/>
  <c r="BE78" i="2"/>
  <c r="BF78" i="2"/>
  <c r="BG78" i="2"/>
  <c r="BH78" i="2"/>
  <c r="BI78" i="2"/>
  <c r="AP79" i="2"/>
  <c r="AQ79" i="2"/>
  <c r="AR79" i="2"/>
  <c r="AS79" i="2"/>
  <c r="AT79" i="2"/>
  <c r="AU79" i="2"/>
  <c r="AV79" i="2"/>
  <c r="AW79" i="2"/>
  <c r="AX79" i="2"/>
  <c r="AY79" i="2"/>
  <c r="AZ79" i="2"/>
  <c r="BA79" i="2"/>
  <c r="BB79" i="2"/>
  <c r="BC79" i="2"/>
  <c r="BD79" i="2"/>
  <c r="BE79" i="2"/>
  <c r="BF79" i="2"/>
  <c r="BG79" i="2"/>
  <c r="BH79" i="2"/>
  <c r="BI79" i="2"/>
  <c r="AP80" i="2"/>
  <c r="AQ80" i="2"/>
  <c r="AR80" i="2"/>
  <c r="AS80" i="2"/>
  <c r="AT80" i="2"/>
  <c r="AU80" i="2"/>
  <c r="AV80" i="2"/>
  <c r="AW80" i="2"/>
  <c r="AX80" i="2"/>
  <c r="AY80" i="2"/>
  <c r="AZ80" i="2"/>
  <c r="BA80" i="2"/>
  <c r="BB80" i="2"/>
  <c r="BC80" i="2"/>
  <c r="BD80" i="2"/>
  <c r="BE80" i="2"/>
  <c r="BF80" i="2"/>
  <c r="BG80" i="2"/>
  <c r="BH80" i="2"/>
  <c r="BI80" i="2"/>
  <c r="AP81" i="2"/>
  <c r="AQ81" i="2"/>
  <c r="AR81" i="2"/>
  <c r="AS81" i="2"/>
  <c r="AT81" i="2"/>
  <c r="AU81" i="2"/>
  <c r="AV81" i="2"/>
  <c r="AW81" i="2"/>
  <c r="AX81" i="2"/>
  <c r="AY81" i="2"/>
  <c r="AZ81" i="2"/>
  <c r="BA81" i="2"/>
  <c r="BB81" i="2"/>
  <c r="BC81" i="2"/>
  <c r="BD81" i="2"/>
  <c r="BE81" i="2"/>
  <c r="BF81" i="2"/>
  <c r="BG81" i="2"/>
  <c r="BH81" i="2"/>
  <c r="BI81" i="2"/>
  <c r="AP82" i="2"/>
  <c r="AQ82" i="2"/>
  <c r="AR82" i="2"/>
  <c r="AS82" i="2"/>
  <c r="AT82" i="2"/>
  <c r="AU82" i="2"/>
  <c r="AV82" i="2"/>
  <c r="AW82" i="2"/>
  <c r="AX82" i="2"/>
  <c r="AY82" i="2"/>
  <c r="AZ82" i="2"/>
  <c r="BA82" i="2"/>
  <c r="BB82" i="2"/>
  <c r="BC82" i="2"/>
  <c r="BD82" i="2"/>
  <c r="BE82" i="2"/>
  <c r="BF82" i="2"/>
  <c r="BG82" i="2"/>
  <c r="BH82" i="2"/>
  <c r="BI82" i="2"/>
  <c r="AP83" i="2"/>
  <c r="AQ83" i="2"/>
  <c r="AR83" i="2"/>
  <c r="AS83" i="2"/>
  <c r="AT83" i="2"/>
  <c r="AU83" i="2"/>
  <c r="AV83" i="2"/>
  <c r="AW83" i="2"/>
  <c r="AX83" i="2"/>
  <c r="AY83" i="2"/>
  <c r="AZ83" i="2"/>
  <c r="BA83" i="2"/>
  <c r="BB83" i="2"/>
  <c r="BC83" i="2"/>
  <c r="BD83" i="2"/>
  <c r="BE83" i="2"/>
  <c r="BF83" i="2"/>
  <c r="BG83" i="2"/>
  <c r="BH83" i="2"/>
  <c r="BI83" i="2"/>
  <c r="AP84" i="2"/>
  <c r="AQ84" i="2"/>
  <c r="AR84" i="2"/>
  <c r="AS84" i="2"/>
  <c r="AT84" i="2"/>
  <c r="AU84" i="2"/>
  <c r="AV84" i="2"/>
  <c r="AW84" i="2"/>
  <c r="AX84" i="2"/>
  <c r="AY84" i="2"/>
  <c r="AZ84" i="2"/>
  <c r="BA84" i="2"/>
  <c r="BB84" i="2"/>
  <c r="BC84" i="2"/>
  <c r="BD84" i="2"/>
  <c r="BE84" i="2"/>
  <c r="BF84" i="2"/>
  <c r="BG84" i="2"/>
  <c r="BH84" i="2"/>
  <c r="BI84" i="2"/>
  <c r="AP85" i="2"/>
  <c r="AQ85" i="2"/>
  <c r="AR85" i="2"/>
  <c r="AS85" i="2"/>
  <c r="AT85" i="2"/>
  <c r="AU85" i="2"/>
  <c r="AV85" i="2"/>
  <c r="AW85" i="2"/>
  <c r="AX85" i="2"/>
  <c r="AY85" i="2"/>
  <c r="AZ85" i="2"/>
  <c r="BA85" i="2"/>
  <c r="BB85" i="2"/>
  <c r="BC85" i="2"/>
  <c r="BD85" i="2"/>
  <c r="BE85" i="2"/>
  <c r="BF85" i="2"/>
  <c r="BG85" i="2"/>
  <c r="BH85" i="2"/>
  <c r="BI85" i="2"/>
  <c r="AP86" i="2"/>
  <c r="AQ86" i="2"/>
  <c r="AR86" i="2"/>
  <c r="AS86" i="2"/>
  <c r="AT86" i="2"/>
  <c r="AU86" i="2"/>
  <c r="AV86" i="2"/>
  <c r="AW86" i="2"/>
  <c r="AX86" i="2"/>
  <c r="AY86" i="2"/>
  <c r="AZ86" i="2"/>
  <c r="BA86" i="2"/>
  <c r="BB86" i="2"/>
  <c r="BC86" i="2"/>
  <c r="BD86" i="2"/>
  <c r="BE86" i="2"/>
  <c r="BF86" i="2"/>
  <c r="BG86" i="2"/>
  <c r="BH86" i="2"/>
  <c r="BI86" i="2"/>
  <c r="AP87" i="2"/>
  <c r="AQ87" i="2"/>
  <c r="AR87" i="2"/>
  <c r="AS87" i="2"/>
  <c r="AT87" i="2"/>
  <c r="AU87" i="2"/>
  <c r="AV87" i="2"/>
  <c r="AW87" i="2"/>
  <c r="AX87" i="2"/>
  <c r="AY87" i="2"/>
  <c r="AZ87" i="2"/>
  <c r="BA87" i="2"/>
  <c r="BB87" i="2"/>
  <c r="BC87" i="2"/>
  <c r="BD87" i="2"/>
  <c r="BE87" i="2"/>
  <c r="BF87" i="2"/>
  <c r="BG87" i="2"/>
  <c r="BH87" i="2"/>
  <c r="BI87" i="2"/>
  <c r="AP88" i="2"/>
  <c r="AQ88" i="2"/>
  <c r="AR88" i="2"/>
  <c r="AS88" i="2"/>
  <c r="AT88" i="2"/>
  <c r="AU88" i="2"/>
  <c r="AV88" i="2"/>
  <c r="AW88" i="2"/>
  <c r="AX88" i="2"/>
  <c r="AY88" i="2"/>
  <c r="AZ88" i="2"/>
  <c r="BA88" i="2"/>
  <c r="BB88" i="2"/>
  <c r="BC88" i="2"/>
  <c r="BD88" i="2"/>
  <c r="BE88" i="2"/>
  <c r="BF88" i="2"/>
  <c r="BG88" i="2"/>
  <c r="BH88" i="2"/>
  <c r="BI88" i="2"/>
  <c r="AP89" i="2"/>
  <c r="AQ89" i="2"/>
  <c r="AR89" i="2"/>
  <c r="AS89" i="2"/>
  <c r="AT89" i="2"/>
  <c r="AU89" i="2"/>
  <c r="AV89" i="2"/>
  <c r="AW89" i="2"/>
  <c r="AX89" i="2"/>
  <c r="AY89" i="2"/>
  <c r="AZ89" i="2"/>
  <c r="BA89" i="2"/>
  <c r="BB89" i="2"/>
  <c r="BC89" i="2"/>
  <c r="BD89" i="2"/>
  <c r="BE89" i="2"/>
  <c r="BF89" i="2"/>
  <c r="BG89" i="2"/>
  <c r="BH89" i="2"/>
  <c r="BI89" i="2"/>
  <c r="AP90" i="2"/>
  <c r="AQ90" i="2"/>
  <c r="AR90" i="2"/>
  <c r="AS90" i="2"/>
  <c r="AT90" i="2"/>
  <c r="AU90" i="2"/>
  <c r="AV90" i="2"/>
  <c r="AW90" i="2"/>
  <c r="AX90" i="2"/>
  <c r="AY90" i="2"/>
  <c r="AZ90" i="2"/>
  <c r="BA90" i="2"/>
  <c r="BB90" i="2"/>
  <c r="BC90" i="2"/>
  <c r="BD90" i="2"/>
  <c r="BE90" i="2"/>
  <c r="BF90" i="2"/>
  <c r="BG90" i="2"/>
  <c r="BH90" i="2"/>
  <c r="BI90" i="2"/>
  <c r="AP91" i="2"/>
  <c r="AQ91" i="2"/>
  <c r="AR91" i="2"/>
  <c r="AS91" i="2"/>
  <c r="AT91" i="2"/>
  <c r="AU91" i="2"/>
  <c r="AV91" i="2"/>
  <c r="AW91" i="2"/>
  <c r="AX91" i="2"/>
  <c r="AY91" i="2"/>
  <c r="AZ91" i="2"/>
  <c r="BA91" i="2"/>
  <c r="BB91" i="2"/>
  <c r="BC91" i="2"/>
  <c r="BD91" i="2"/>
  <c r="BE91" i="2"/>
  <c r="BF91" i="2"/>
  <c r="BG91" i="2"/>
  <c r="BH91" i="2"/>
  <c r="BI91" i="2"/>
  <c r="AP92" i="2"/>
  <c r="AQ92" i="2"/>
  <c r="AR92" i="2"/>
  <c r="AS92" i="2"/>
  <c r="AT92" i="2"/>
  <c r="AU92" i="2"/>
  <c r="AV92" i="2"/>
  <c r="AW92" i="2"/>
  <c r="AX92" i="2"/>
  <c r="AY92" i="2"/>
  <c r="AZ92" i="2"/>
  <c r="BA92" i="2"/>
  <c r="BB92" i="2"/>
  <c r="BC92" i="2"/>
  <c r="BD92" i="2"/>
  <c r="BE92" i="2"/>
  <c r="BF92" i="2"/>
  <c r="BG92" i="2"/>
  <c r="BH92" i="2"/>
  <c r="BI92" i="2"/>
  <c r="AP93" i="2"/>
  <c r="AQ93" i="2"/>
  <c r="AR93" i="2"/>
  <c r="AS93" i="2"/>
  <c r="AT93" i="2"/>
  <c r="AU93" i="2"/>
  <c r="AV93" i="2"/>
  <c r="AW93" i="2"/>
  <c r="AX93" i="2"/>
  <c r="AY93" i="2"/>
  <c r="AZ93" i="2"/>
  <c r="BA93" i="2"/>
  <c r="BB93" i="2"/>
  <c r="BC93" i="2"/>
  <c r="BD93" i="2"/>
  <c r="BE93" i="2"/>
  <c r="BF93" i="2"/>
  <c r="BG93" i="2"/>
  <c r="BH93" i="2"/>
  <c r="BI93" i="2"/>
  <c r="AP94" i="2"/>
  <c r="AQ94" i="2"/>
  <c r="AR94" i="2"/>
  <c r="AS94" i="2"/>
  <c r="AT94" i="2"/>
  <c r="AU94" i="2"/>
  <c r="AV94" i="2"/>
  <c r="AW94" i="2"/>
  <c r="AX94" i="2"/>
  <c r="AY94" i="2"/>
  <c r="AZ94" i="2"/>
  <c r="BA94" i="2"/>
  <c r="BB94" i="2"/>
  <c r="BC94" i="2"/>
  <c r="BD94" i="2"/>
  <c r="BE94" i="2"/>
  <c r="BF94" i="2"/>
  <c r="BG94" i="2"/>
  <c r="BH94" i="2"/>
  <c r="BI94" i="2"/>
  <c r="AP95" i="2"/>
  <c r="AQ95" i="2"/>
  <c r="AR95" i="2"/>
  <c r="AS95" i="2"/>
  <c r="AT95" i="2"/>
  <c r="AU95" i="2"/>
  <c r="AV95" i="2"/>
  <c r="AW95" i="2"/>
  <c r="AX95" i="2"/>
  <c r="AY95" i="2"/>
  <c r="AZ95" i="2"/>
  <c r="BA95" i="2"/>
  <c r="BB95" i="2"/>
  <c r="BC95" i="2"/>
  <c r="BD95" i="2"/>
  <c r="BE95" i="2"/>
  <c r="BF95" i="2"/>
  <c r="BG95" i="2"/>
  <c r="BH95" i="2"/>
  <c r="BI95" i="2"/>
  <c r="AP96" i="2"/>
  <c r="AQ96" i="2"/>
  <c r="AR96" i="2"/>
  <c r="AS96" i="2"/>
  <c r="AT96" i="2"/>
  <c r="AU96" i="2"/>
  <c r="AV96" i="2"/>
  <c r="AW96" i="2"/>
  <c r="AX96" i="2"/>
  <c r="AY96" i="2"/>
  <c r="AZ96" i="2"/>
  <c r="BA96" i="2"/>
  <c r="BB96" i="2"/>
  <c r="BC96" i="2"/>
  <c r="BD96" i="2"/>
  <c r="BE96" i="2"/>
  <c r="BF96" i="2"/>
  <c r="BG96" i="2"/>
  <c r="BH96" i="2"/>
  <c r="BI96" i="2"/>
  <c r="AP97" i="2"/>
  <c r="AQ97" i="2"/>
  <c r="AR97" i="2"/>
  <c r="AS97" i="2"/>
  <c r="AT97" i="2"/>
  <c r="AU97" i="2"/>
  <c r="AV97" i="2"/>
  <c r="AW97" i="2"/>
  <c r="AX97" i="2"/>
  <c r="AY97" i="2"/>
  <c r="AZ97" i="2"/>
  <c r="BA97" i="2"/>
  <c r="BB97" i="2"/>
  <c r="BC97" i="2"/>
  <c r="BD97" i="2"/>
  <c r="BE97" i="2"/>
  <c r="BF97" i="2"/>
  <c r="BG97" i="2"/>
  <c r="BH97" i="2"/>
  <c r="BI97" i="2"/>
  <c r="AP98" i="2"/>
  <c r="AQ98" i="2"/>
  <c r="AR98" i="2"/>
  <c r="AS98" i="2"/>
  <c r="AT98" i="2"/>
  <c r="AU98" i="2"/>
  <c r="AV98" i="2"/>
  <c r="AW98" i="2"/>
  <c r="AX98" i="2"/>
  <c r="AY98" i="2"/>
  <c r="AZ98" i="2"/>
  <c r="BA98" i="2"/>
  <c r="BB98" i="2"/>
  <c r="BC98" i="2"/>
  <c r="BD98" i="2"/>
  <c r="BE98" i="2"/>
  <c r="BF98" i="2"/>
  <c r="BG98" i="2"/>
  <c r="BH98" i="2"/>
  <c r="BI98" i="2"/>
  <c r="AP99" i="2"/>
  <c r="AQ99" i="2"/>
  <c r="AR99" i="2"/>
  <c r="AS99" i="2"/>
  <c r="AT99" i="2"/>
  <c r="AU99" i="2"/>
  <c r="AV99" i="2"/>
  <c r="AW99" i="2"/>
  <c r="AX99" i="2"/>
  <c r="AY99" i="2"/>
  <c r="AZ99" i="2"/>
  <c r="BA99" i="2"/>
  <c r="BB99" i="2"/>
  <c r="BC99" i="2"/>
  <c r="BD99" i="2"/>
  <c r="BE99" i="2"/>
  <c r="BF99" i="2"/>
  <c r="BG99" i="2"/>
  <c r="BH99" i="2"/>
  <c r="BI99" i="2"/>
  <c r="AP100" i="2"/>
  <c r="AQ100" i="2"/>
  <c r="AR100" i="2"/>
  <c r="AS100" i="2"/>
  <c r="AT100" i="2"/>
  <c r="AU100" i="2"/>
  <c r="AV100" i="2"/>
  <c r="AW100" i="2"/>
  <c r="AX100" i="2"/>
  <c r="AY100" i="2"/>
  <c r="AZ100" i="2"/>
  <c r="BA100" i="2"/>
  <c r="BB100" i="2"/>
  <c r="BC100" i="2"/>
  <c r="BD100" i="2"/>
  <c r="BE100" i="2"/>
  <c r="BF100" i="2"/>
  <c r="BG100" i="2"/>
  <c r="BH100" i="2"/>
  <c r="BI100" i="2"/>
  <c r="AP102" i="2"/>
  <c r="AQ102" i="2"/>
  <c r="AR102" i="2"/>
  <c r="AS102" i="2"/>
  <c r="AT102" i="2"/>
  <c r="AU102" i="2"/>
  <c r="AV102" i="2"/>
  <c r="AW102" i="2"/>
  <c r="AX102" i="2"/>
  <c r="AY102" i="2"/>
  <c r="AZ102" i="2"/>
  <c r="BA102" i="2"/>
  <c r="BB102" i="2"/>
  <c r="BC102" i="2"/>
  <c r="BD102" i="2"/>
  <c r="BE102" i="2"/>
  <c r="BF102" i="2"/>
  <c r="BG102" i="2"/>
  <c r="BH102" i="2"/>
  <c r="BI102" i="2"/>
  <c r="AP104" i="2"/>
  <c r="AQ104" i="2"/>
  <c r="AR104" i="2"/>
  <c r="AS104" i="2"/>
  <c r="AT104" i="2"/>
  <c r="AU104" i="2"/>
  <c r="AV104" i="2"/>
  <c r="AW104" i="2"/>
  <c r="AX104" i="2"/>
  <c r="AY104" i="2"/>
  <c r="AZ104" i="2"/>
  <c r="BA104" i="2"/>
  <c r="BB104" i="2"/>
  <c r="BC104" i="2"/>
  <c r="BD104" i="2"/>
  <c r="BE104" i="2"/>
  <c r="BF104" i="2"/>
  <c r="BG104" i="2"/>
  <c r="BH104" i="2"/>
  <c r="BI104" i="2"/>
  <c r="AP105" i="2"/>
  <c r="AQ105" i="2"/>
  <c r="AR105" i="2"/>
  <c r="AS105" i="2"/>
  <c r="AT105" i="2"/>
  <c r="AU105" i="2"/>
  <c r="AV105" i="2"/>
  <c r="AW105" i="2"/>
  <c r="AX105" i="2"/>
  <c r="AY105" i="2"/>
  <c r="AZ105" i="2"/>
  <c r="BA105" i="2"/>
  <c r="BB105" i="2"/>
  <c r="BC105" i="2"/>
  <c r="BD105" i="2"/>
  <c r="BE105" i="2"/>
  <c r="BF105" i="2"/>
  <c r="BG105" i="2"/>
  <c r="BH105" i="2"/>
  <c r="BI105" i="2"/>
  <c r="AP106" i="2"/>
  <c r="AQ106" i="2"/>
  <c r="AR106" i="2"/>
  <c r="AS106" i="2"/>
  <c r="AT106" i="2"/>
  <c r="AU106" i="2"/>
  <c r="AV106" i="2"/>
  <c r="AW106" i="2"/>
  <c r="AX106" i="2"/>
  <c r="AY106" i="2"/>
  <c r="AZ106" i="2"/>
  <c r="BA106" i="2"/>
  <c r="BB106" i="2"/>
  <c r="BC106" i="2"/>
  <c r="BD106" i="2"/>
  <c r="BE106" i="2"/>
  <c r="BF106" i="2"/>
  <c r="BG106" i="2"/>
  <c r="BH106" i="2"/>
  <c r="BI106" i="2"/>
  <c r="AP108" i="2"/>
  <c r="AQ108" i="2"/>
  <c r="AR108" i="2"/>
  <c r="AS108" i="2"/>
  <c r="AT108" i="2"/>
  <c r="AU108" i="2"/>
  <c r="AV108" i="2"/>
  <c r="AW108" i="2"/>
  <c r="AX108" i="2"/>
  <c r="AY108" i="2"/>
  <c r="AZ108" i="2"/>
  <c r="BA108" i="2"/>
  <c r="BB108" i="2"/>
  <c r="BC108" i="2"/>
  <c r="BD108" i="2"/>
  <c r="BE108" i="2"/>
  <c r="BF108" i="2"/>
  <c r="BG108" i="2"/>
  <c r="BH108" i="2"/>
  <c r="BI108" i="2"/>
  <c r="AP109" i="2"/>
  <c r="AQ109" i="2"/>
  <c r="AR109" i="2"/>
  <c r="AS109" i="2"/>
  <c r="AT109" i="2"/>
  <c r="AU109" i="2"/>
  <c r="AV109" i="2"/>
  <c r="AW109" i="2"/>
  <c r="AX109" i="2"/>
  <c r="AY109" i="2"/>
  <c r="AZ109" i="2"/>
  <c r="BA109" i="2"/>
  <c r="BB109" i="2"/>
  <c r="BC109" i="2"/>
  <c r="BD109" i="2"/>
  <c r="BE109" i="2"/>
  <c r="BF109" i="2"/>
  <c r="BG109" i="2"/>
  <c r="BH109" i="2"/>
  <c r="BI109" i="2"/>
  <c r="AP110" i="2"/>
  <c r="AQ110" i="2"/>
  <c r="AR110" i="2"/>
  <c r="AS110" i="2"/>
  <c r="AT110" i="2"/>
  <c r="AU110" i="2"/>
  <c r="AV110" i="2"/>
  <c r="AW110" i="2"/>
  <c r="AX110" i="2"/>
  <c r="AY110" i="2"/>
  <c r="AZ110" i="2"/>
  <c r="BA110" i="2"/>
  <c r="BB110" i="2"/>
  <c r="BC110" i="2"/>
  <c r="BD110" i="2"/>
  <c r="BE110" i="2"/>
  <c r="BF110" i="2"/>
  <c r="BG110" i="2"/>
  <c r="BH110" i="2"/>
  <c r="BI110" i="2"/>
  <c r="AP111" i="2"/>
  <c r="AQ111" i="2"/>
  <c r="AR111" i="2"/>
  <c r="AS111" i="2"/>
  <c r="AT111" i="2"/>
  <c r="AU111" i="2"/>
  <c r="AV111" i="2"/>
  <c r="AW111" i="2"/>
  <c r="AX111" i="2"/>
  <c r="AY111" i="2"/>
  <c r="AZ111" i="2"/>
  <c r="BA111" i="2"/>
  <c r="BB111" i="2"/>
  <c r="BC111" i="2"/>
  <c r="BD111" i="2"/>
  <c r="BE111" i="2"/>
  <c r="BF111" i="2"/>
  <c r="BG111" i="2"/>
  <c r="BH111" i="2"/>
  <c r="BI111" i="2"/>
  <c r="AP112" i="2"/>
  <c r="AQ112" i="2"/>
  <c r="AR112" i="2"/>
  <c r="AS112" i="2"/>
  <c r="AT112" i="2"/>
  <c r="AU112" i="2"/>
  <c r="AV112" i="2"/>
  <c r="AW112" i="2"/>
  <c r="AX112" i="2"/>
  <c r="AY112" i="2"/>
  <c r="AZ112" i="2"/>
  <c r="BA112" i="2"/>
  <c r="BB112" i="2"/>
  <c r="BC112" i="2"/>
  <c r="BD112" i="2"/>
  <c r="BE112" i="2"/>
  <c r="BF112" i="2"/>
  <c r="BG112" i="2"/>
  <c r="BH112" i="2"/>
  <c r="BI112" i="2"/>
  <c r="AP113" i="2"/>
  <c r="AQ113" i="2"/>
  <c r="AR113" i="2"/>
  <c r="AS113" i="2"/>
  <c r="AT113" i="2"/>
  <c r="AU113" i="2"/>
  <c r="AV113" i="2"/>
  <c r="AW113" i="2"/>
  <c r="AX113" i="2"/>
  <c r="AY113" i="2"/>
  <c r="AZ113" i="2"/>
  <c r="BA113" i="2"/>
  <c r="BB113" i="2"/>
  <c r="BC113" i="2"/>
  <c r="BD113" i="2"/>
  <c r="BE113" i="2"/>
  <c r="BF113" i="2"/>
  <c r="BG113" i="2"/>
  <c r="BH113" i="2"/>
  <c r="BI113" i="2"/>
  <c r="AP114" i="2"/>
  <c r="AQ114" i="2"/>
  <c r="AR114" i="2"/>
  <c r="AS114" i="2"/>
  <c r="AT114" i="2"/>
  <c r="AU114" i="2"/>
  <c r="AV114" i="2"/>
  <c r="AW114" i="2"/>
  <c r="AX114" i="2"/>
  <c r="AY114" i="2"/>
  <c r="AZ114" i="2"/>
  <c r="BA114" i="2"/>
  <c r="BB114" i="2"/>
  <c r="BC114" i="2"/>
  <c r="BD114" i="2"/>
  <c r="BE114" i="2"/>
  <c r="BF114" i="2"/>
  <c r="BG114" i="2"/>
  <c r="BH114" i="2"/>
  <c r="BI114" i="2"/>
  <c r="AP117" i="2"/>
  <c r="AQ117" i="2"/>
  <c r="AR117" i="2"/>
  <c r="AS117" i="2"/>
  <c r="AT117" i="2"/>
  <c r="AU117" i="2"/>
  <c r="AV117" i="2"/>
  <c r="AW117" i="2"/>
  <c r="AX117" i="2"/>
  <c r="AY117" i="2"/>
  <c r="AZ117" i="2"/>
  <c r="BA117" i="2"/>
  <c r="BB117" i="2"/>
  <c r="BC117" i="2"/>
  <c r="BD117" i="2"/>
  <c r="BE117" i="2"/>
  <c r="BF117" i="2"/>
  <c r="BG117" i="2"/>
  <c r="BH117" i="2"/>
  <c r="BI117" i="2"/>
  <c r="AP118" i="2"/>
  <c r="AQ118" i="2"/>
  <c r="AR118" i="2"/>
  <c r="AS118" i="2"/>
  <c r="AT118" i="2"/>
  <c r="AU118" i="2"/>
  <c r="AV118" i="2"/>
  <c r="AW118" i="2"/>
  <c r="AX118" i="2"/>
  <c r="AY118" i="2"/>
  <c r="AZ118" i="2"/>
  <c r="BA118" i="2"/>
  <c r="BB118" i="2"/>
  <c r="BC118" i="2"/>
  <c r="BD118" i="2"/>
  <c r="BE118" i="2"/>
  <c r="BF118" i="2"/>
  <c r="BG118" i="2"/>
  <c r="BH118" i="2"/>
  <c r="BI118" i="2"/>
  <c r="AP119" i="2"/>
  <c r="AQ119" i="2"/>
  <c r="AR119" i="2"/>
  <c r="AS119" i="2"/>
  <c r="AT119" i="2"/>
  <c r="AU119" i="2"/>
  <c r="AV119" i="2"/>
  <c r="AW119" i="2"/>
  <c r="AX119" i="2"/>
  <c r="AY119" i="2"/>
  <c r="AZ119" i="2"/>
  <c r="BA119" i="2"/>
  <c r="BB119" i="2"/>
  <c r="BC119" i="2"/>
  <c r="BD119" i="2"/>
  <c r="BE119" i="2"/>
  <c r="BF119" i="2"/>
  <c r="BG119" i="2"/>
  <c r="BH119" i="2"/>
  <c r="BI119" i="2"/>
  <c r="AP120" i="2"/>
  <c r="AQ120" i="2"/>
  <c r="AR120" i="2"/>
  <c r="AS120" i="2"/>
  <c r="AT120" i="2"/>
  <c r="AU120" i="2"/>
  <c r="AV120" i="2"/>
  <c r="AW120" i="2"/>
  <c r="AX120" i="2"/>
  <c r="AY120" i="2"/>
  <c r="AZ120" i="2"/>
  <c r="BA120" i="2"/>
  <c r="BB120" i="2"/>
  <c r="BC120" i="2"/>
  <c r="BD120" i="2"/>
  <c r="BE120" i="2"/>
  <c r="BF120" i="2"/>
  <c r="BG120" i="2"/>
  <c r="BH120" i="2"/>
  <c r="BI120" i="2"/>
  <c r="AP121" i="2"/>
  <c r="AQ121" i="2"/>
  <c r="AR121" i="2"/>
  <c r="AS121" i="2"/>
  <c r="AT121" i="2"/>
  <c r="AU121" i="2"/>
  <c r="AV121" i="2"/>
  <c r="AW121" i="2"/>
  <c r="AX121" i="2"/>
  <c r="AY121" i="2"/>
  <c r="AZ121" i="2"/>
  <c r="BA121" i="2"/>
  <c r="BB121" i="2"/>
  <c r="BC121" i="2"/>
  <c r="BD121" i="2"/>
  <c r="BE121" i="2"/>
  <c r="BF121" i="2"/>
  <c r="BG121" i="2"/>
  <c r="BH121" i="2"/>
  <c r="BI121" i="2"/>
  <c r="AP122" i="2"/>
  <c r="AQ122" i="2"/>
  <c r="AR122" i="2"/>
  <c r="AS122" i="2"/>
  <c r="AT122" i="2"/>
  <c r="AU122" i="2"/>
  <c r="AV122" i="2"/>
  <c r="AW122" i="2"/>
  <c r="AX122" i="2"/>
  <c r="AY122" i="2"/>
  <c r="AZ122" i="2"/>
  <c r="BA122" i="2"/>
  <c r="BB122" i="2"/>
  <c r="BC122" i="2"/>
  <c r="BD122" i="2"/>
  <c r="BE122" i="2"/>
  <c r="BF122" i="2"/>
  <c r="BG122" i="2"/>
  <c r="BH122" i="2"/>
  <c r="BI122" i="2"/>
  <c r="AP123" i="2"/>
  <c r="AQ123" i="2"/>
  <c r="AR123" i="2"/>
  <c r="AS123" i="2"/>
  <c r="AT123" i="2"/>
  <c r="AU123" i="2"/>
  <c r="AV123" i="2"/>
  <c r="AW123" i="2"/>
  <c r="AX123" i="2"/>
  <c r="AY123" i="2"/>
  <c r="AZ123" i="2"/>
  <c r="BA123" i="2"/>
  <c r="BB123" i="2"/>
  <c r="BC123" i="2"/>
  <c r="BD123" i="2"/>
  <c r="BE123" i="2"/>
  <c r="BF123" i="2"/>
  <c r="BG123" i="2"/>
  <c r="BH123" i="2"/>
  <c r="BI123" i="2"/>
  <c r="AP124" i="2"/>
  <c r="AQ124" i="2"/>
  <c r="AR124" i="2"/>
  <c r="AS124" i="2"/>
  <c r="AT124" i="2"/>
  <c r="AU124" i="2"/>
  <c r="AV124" i="2"/>
  <c r="AW124" i="2"/>
  <c r="AX124" i="2"/>
  <c r="AY124" i="2"/>
  <c r="AZ124" i="2"/>
  <c r="BA124" i="2"/>
  <c r="BB124" i="2"/>
  <c r="BC124" i="2"/>
  <c r="BD124" i="2"/>
  <c r="BE124" i="2"/>
  <c r="BF124" i="2"/>
  <c r="BG124" i="2"/>
  <c r="BH124" i="2"/>
  <c r="BI124" i="2"/>
  <c r="AP125" i="2"/>
  <c r="AQ125" i="2"/>
  <c r="AR125" i="2"/>
  <c r="AS125" i="2"/>
  <c r="AT125" i="2"/>
  <c r="AU125" i="2"/>
  <c r="AV125" i="2"/>
  <c r="AW125" i="2"/>
  <c r="AX125" i="2"/>
  <c r="AY125" i="2"/>
  <c r="AZ125" i="2"/>
  <c r="BA125" i="2"/>
  <c r="BB125" i="2"/>
  <c r="BC125" i="2"/>
  <c r="BD125" i="2"/>
  <c r="BE125" i="2"/>
  <c r="BF125" i="2"/>
  <c r="BG125" i="2"/>
  <c r="BH125" i="2"/>
  <c r="BI125" i="2"/>
  <c r="AP126" i="2"/>
  <c r="AQ126" i="2"/>
  <c r="AR126" i="2"/>
  <c r="AS126" i="2"/>
  <c r="AT126" i="2"/>
  <c r="AU126" i="2"/>
  <c r="AV126" i="2"/>
  <c r="AW126" i="2"/>
  <c r="AX126" i="2"/>
  <c r="AY126" i="2"/>
  <c r="AZ126" i="2"/>
  <c r="BA126" i="2"/>
  <c r="BB126" i="2"/>
  <c r="BC126" i="2"/>
  <c r="BD126" i="2"/>
  <c r="BE126" i="2"/>
  <c r="BF126" i="2"/>
  <c r="BG126" i="2"/>
  <c r="BH126" i="2"/>
  <c r="BI126" i="2"/>
  <c r="AP127" i="2"/>
  <c r="AQ127" i="2"/>
  <c r="AR127" i="2"/>
  <c r="AS127" i="2"/>
  <c r="AT127" i="2"/>
  <c r="AU127" i="2"/>
  <c r="AV127" i="2"/>
  <c r="AW127" i="2"/>
  <c r="AX127" i="2"/>
  <c r="AY127" i="2"/>
  <c r="AZ127" i="2"/>
  <c r="BA127" i="2"/>
  <c r="BB127" i="2"/>
  <c r="BC127" i="2"/>
  <c r="BD127" i="2"/>
  <c r="BE127" i="2"/>
  <c r="BF127" i="2"/>
  <c r="BG127" i="2"/>
  <c r="BH127" i="2"/>
  <c r="BI127" i="2"/>
  <c r="AP128" i="2"/>
  <c r="AQ128" i="2"/>
  <c r="AR128" i="2"/>
  <c r="AS128" i="2"/>
  <c r="AT128" i="2"/>
  <c r="AU128" i="2"/>
  <c r="AV128" i="2"/>
  <c r="AW128" i="2"/>
  <c r="AX128" i="2"/>
  <c r="AY128" i="2"/>
  <c r="AZ128" i="2"/>
  <c r="BA128" i="2"/>
  <c r="BB128" i="2"/>
  <c r="BC128" i="2"/>
  <c r="BD128" i="2"/>
  <c r="BE128" i="2"/>
  <c r="BF128" i="2"/>
  <c r="BG128" i="2"/>
  <c r="BH128" i="2"/>
  <c r="BI128" i="2"/>
  <c r="AP129" i="2"/>
  <c r="AQ129" i="2"/>
  <c r="AR129" i="2"/>
  <c r="AS129" i="2"/>
  <c r="AT129" i="2"/>
  <c r="AU129" i="2"/>
  <c r="AV129" i="2"/>
  <c r="AW129" i="2"/>
  <c r="AX129" i="2"/>
  <c r="AY129" i="2"/>
  <c r="AZ129" i="2"/>
  <c r="BA129" i="2"/>
  <c r="BB129" i="2"/>
  <c r="BC129" i="2"/>
  <c r="BD129" i="2"/>
  <c r="BE129" i="2"/>
  <c r="BF129" i="2"/>
  <c r="BG129" i="2"/>
  <c r="BH129" i="2"/>
  <c r="BI129" i="2"/>
  <c r="AP130" i="2"/>
  <c r="AQ130" i="2"/>
  <c r="AR130" i="2"/>
  <c r="AS130" i="2"/>
  <c r="AT130" i="2"/>
  <c r="AU130" i="2"/>
  <c r="AV130" i="2"/>
  <c r="AW130" i="2"/>
  <c r="AX130" i="2"/>
  <c r="AY130" i="2"/>
  <c r="AZ130" i="2"/>
  <c r="BA130" i="2"/>
  <c r="BB130" i="2"/>
  <c r="BC130" i="2"/>
  <c r="BD130" i="2"/>
  <c r="BE130" i="2"/>
  <c r="BF130" i="2"/>
  <c r="BG130" i="2"/>
  <c r="BH130" i="2"/>
  <c r="BI130" i="2"/>
  <c r="AP131" i="2"/>
  <c r="AQ131" i="2"/>
  <c r="AR131" i="2"/>
  <c r="AS131" i="2"/>
  <c r="AT131" i="2"/>
  <c r="AU131" i="2"/>
  <c r="AV131" i="2"/>
  <c r="AW131" i="2"/>
  <c r="AX131" i="2"/>
  <c r="AY131" i="2"/>
  <c r="AZ131" i="2"/>
  <c r="BA131" i="2"/>
  <c r="BB131" i="2"/>
  <c r="BC131" i="2"/>
  <c r="BD131" i="2"/>
  <c r="BE131" i="2"/>
  <c r="BF131" i="2"/>
  <c r="BG131" i="2"/>
  <c r="BH131" i="2"/>
  <c r="BI131" i="2"/>
  <c r="AP132" i="2"/>
  <c r="AQ132" i="2"/>
  <c r="AR132" i="2"/>
  <c r="AS132" i="2"/>
  <c r="AT132" i="2"/>
  <c r="AU132" i="2"/>
  <c r="AV132" i="2"/>
  <c r="AW132" i="2"/>
  <c r="AX132" i="2"/>
  <c r="AY132" i="2"/>
  <c r="AZ132" i="2"/>
  <c r="BA132" i="2"/>
  <c r="BB132" i="2"/>
  <c r="BC132" i="2"/>
  <c r="BD132" i="2"/>
  <c r="BE132" i="2"/>
  <c r="BF132" i="2"/>
  <c r="BG132" i="2"/>
  <c r="BH132" i="2"/>
  <c r="BI132" i="2"/>
  <c r="AP133" i="2"/>
  <c r="AQ133" i="2"/>
  <c r="AR133" i="2"/>
  <c r="AS133" i="2"/>
  <c r="AT133" i="2"/>
  <c r="AU133" i="2"/>
  <c r="AV133" i="2"/>
  <c r="AW133" i="2"/>
  <c r="AX133" i="2"/>
  <c r="AY133" i="2"/>
  <c r="AZ133" i="2"/>
  <c r="BA133" i="2"/>
  <c r="BB133" i="2"/>
  <c r="BC133" i="2"/>
  <c r="BD133" i="2"/>
  <c r="BE133" i="2"/>
  <c r="BF133" i="2"/>
  <c r="BG133" i="2"/>
  <c r="BH133" i="2"/>
  <c r="BI133" i="2"/>
  <c r="AP134" i="2"/>
  <c r="AQ134" i="2"/>
  <c r="AR134" i="2"/>
  <c r="AS134" i="2"/>
  <c r="AT134" i="2"/>
  <c r="AU134" i="2"/>
  <c r="AV134" i="2"/>
  <c r="AW134" i="2"/>
  <c r="AX134" i="2"/>
  <c r="AY134" i="2"/>
  <c r="AZ134" i="2"/>
  <c r="BA134" i="2"/>
  <c r="BB134" i="2"/>
  <c r="BC134" i="2"/>
  <c r="BD134" i="2"/>
  <c r="BE134" i="2"/>
  <c r="BF134" i="2"/>
  <c r="BG134" i="2"/>
  <c r="BH134" i="2"/>
  <c r="BI134" i="2"/>
  <c r="AP135" i="2"/>
  <c r="AQ135" i="2"/>
  <c r="AR135" i="2"/>
  <c r="AS135" i="2"/>
  <c r="AT135" i="2"/>
  <c r="AU135" i="2"/>
  <c r="AV135" i="2"/>
  <c r="AW135" i="2"/>
  <c r="AX135" i="2"/>
  <c r="AY135" i="2"/>
  <c r="AZ135" i="2"/>
  <c r="BA135" i="2"/>
  <c r="BB135" i="2"/>
  <c r="BC135" i="2"/>
  <c r="BD135" i="2"/>
  <c r="BE135" i="2"/>
  <c r="BF135" i="2"/>
  <c r="BG135" i="2"/>
  <c r="BH135" i="2"/>
  <c r="BI135" i="2"/>
  <c r="AP136" i="2"/>
  <c r="AQ136" i="2"/>
  <c r="AR136" i="2"/>
  <c r="AS136" i="2"/>
  <c r="AT136" i="2"/>
  <c r="AU136" i="2"/>
  <c r="AV136" i="2"/>
  <c r="AW136" i="2"/>
  <c r="AX136" i="2"/>
  <c r="AY136" i="2"/>
  <c r="AZ136" i="2"/>
  <c r="BA136" i="2"/>
  <c r="BB136" i="2"/>
  <c r="BC136" i="2"/>
  <c r="BD136" i="2"/>
  <c r="BE136" i="2"/>
  <c r="BF136" i="2"/>
  <c r="BG136" i="2"/>
  <c r="BH136" i="2"/>
  <c r="BI136" i="2"/>
  <c r="AP137" i="2"/>
  <c r="AQ137" i="2"/>
  <c r="AR137" i="2"/>
  <c r="AS137" i="2"/>
  <c r="AT137" i="2"/>
  <c r="AU137" i="2"/>
  <c r="AV137" i="2"/>
  <c r="AW137" i="2"/>
  <c r="AX137" i="2"/>
  <c r="AY137" i="2"/>
  <c r="AZ137" i="2"/>
  <c r="BA137" i="2"/>
  <c r="BB137" i="2"/>
  <c r="BC137" i="2"/>
  <c r="BD137" i="2"/>
  <c r="BE137" i="2"/>
  <c r="BF137" i="2"/>
  <c r="BG137" i="2"/>
  <c r="BH137" i="2"/>
  <c r="BI137" i="2"/>
  <c r="AP138" i="2"/>
  <c r="AQ138" i="2"/>
  <c r="AR138" i="2"/>
  <c r="AS138" i="2"/>
  <c r="AT138" i="2"/>
  <c r="AU138" i="2"/>
  <c r="AV138" i="2"/>
  <c r="AW138" i="2"/>
  <c r="AX138" i="2"/>
  <c r="AY138" i="2"/>
  <c r="AZ138" i="2"/>
  <c r="BA138" i="2"/>
  <c r="BB138" i="2"/>
  <c r="BC138" i="2"/>
  <c r="BD138" i="2"/>
  <c r="BE138" i="2"/>
  <c r="BF138" i="2"/>
  <c r="BG138" i="2"/>
  <c r="BH138" i="2"/>
  <c r="BI138" i="2"/>
  <c r="AP139" i="2"/>
  <c r="AQ139" i="2"/>
  <c r="AR139" i="2"/>
  <c r="AS139" i="2"/>
  <c r="AT139" i="2"/>
  <c r="AU139" i="2"/>
  <c r="AV139" i="2"/>
  <c r="AW139" i="2"/>
  <c r="AX139" i="2"/>
  <c r="AY139" i="2"/>
  <c r="AZ139" i="2"/>
  <c r="BA139" i="2"/>
  <c r="BB139" i="2"/>
  <c r="BC139" i="2"/>
  <c r="BD139" i="2"/>
  <c r="BE139" i="2"/>
  <c r="BF139" i="2"/>
  <c r="BG139" i="2"/>
  <c r="BH139" i="2"/>
  <c r="BI139" i="2"/>
  <c r="AP140" i="2"/>
  <c r="AQ140" i="2"/>
  <c r="AR140" i="2"/>
  <c r="AS140" i="2"/>
  <c r="AT140" i="2"/>
  <c r="AU140" i="2"/>
  <c r="AV140" i="2"/>
  <c r="AW140" i="2"/>
  <c r="AX140" i="2"/>
  <c r="AY140" i="2"/>
  <c r="AZ140" i="2"/>
  <c r="BA140" i="2"/>
  <c r="BB140" i="2"/>
  <c r="BC140" i="2"/>
  <c r="BD140" i="2"/>
  <c r="BE140" i="2"/>
  <c r="BF140" i="2"/>
  <c r="BG140" i="2"/>
  <c r="BH140" i="2"/>
  <c r="BI140" i="2"/>
  <c r="AP141" i="2"/>
  <c r="AQ141" i="2"/>
  <c r="AR141" i="2"/>
  <c r="AS141" i="2"/>
  <c r="AT141" i="2"/>
  <c r="AU141" i="2"/>
  <c r="AV141" i="2"/>
  <c r="AW141" i="2"/>
  <c r="AX141" i="2"/>
  <c r="AY141" i="2"/>
  <c r="AZ141" i="2"/>
  <c r="BA141" i="2"/>
  <c r="BB141" i="2"/>
  <c r="BC141" i="2"/>
  <c r="BD141" i="2"/>
  <c r="BE141" i="2"/>
  <c r="BF141" i="2"/>
  <c r="BG141" i="2"/>
  <c r="BH141" i="2"/>
  <c r="BI141" i="2"/>
  <c r="AP142" i="2"/>
  <c r="AQ142" i="2"/>
  <c r="AR142" i="2"/>
  <c r="AS142" i="2"/>
  <c r="AT142" i="2"/>
  <c r="AU142" i="2"/>
  <c r="AV142" i="2"/>
  <c r="AW142" i="2"/>
  <c r="AX142" i="2"/>
  <c r="AY142" i="2"/>
  <c r="AZ142" i="2"/>
  <c r="BA142" i="2"/>
  <c r="BB142" i="2"/>
  <c r="BC142" i="2"/>
  <c r="BD142" i="2"/>
  <c r="BE142" i="2"/>
  <c r="BF142" i="2"/>
  <c r="BG142" i="2"/>
  <c r="BH142" i="2"/>
  <c r="BI142" i="2"/>
  <c r="AP144" i="2"/>
  <c r="AQ144" i="2"/>
  <c r="AR144" i="2"/>
  <c r="AS144" i="2"/>
  <c r="AT144" i="2"/>
  <c r="AU144" i="2"/>
  <c r="AV144" i="2"/>
  <c r="AW144" i="2"/>
  <c r="AX144" i="2"/>
  <c r="AY144" i="2"/>
  <c r="AZ144" i="2"/>
  <c r="BA144" i="2"/>
  <c r="BB144" i="2"/>
  <c r="BC144" i="2"/>
  <c r="BD144" i="2"/>
  <c r="BE144" i="2"/>
  <c r="BF144" i="2"/>
  <c r="BG144" i="2"/>
  <c r="BH144" i="2"/>
  <c r="BI144" i="2"/>
  <c r="AP145" i="2"/>
  <c r="AQ145" i="2"/>
  <c r="AR145" i="2"/>
  <c r="AS145" i="2"/>
  <c r="AT145" i="2"/>
  <c r="AU145" i="2"/>
  <c r="AV145" i="2"/>
  <c r="AW145" i="2"/>
  <c r="AX145" i="2"/>
  <c r="AY145" i="2"/>
  <c r="AZ145" i="2"/>
  <c r="BA145" i="2"/>
  <c r="BB145" i="2"/>
  <c r="BC145" i="2"/>
  <c r="BD145" i="2"/>
  <c r="BE145" i="2"/>
  <c r="BF145" i="2"/>
  <c r="BG145" i="2"/>
  <c r="BH145" i="2"/>
  <c r="BI145" i="2"/>
  <c r="AP146" i="2"/>
  <c r="AQ146" i="2"/>
  <c r="AR146" i="2"/>
  <c r="AS146" i="2"/>
  <c r="AT146" i="2"/>
  <c r="AU146" i="2"/>
  <c r="AV146" i="2"/>
  <c r="AW146" i="2"/>
  <c r="AX146" i="2"/>
  <c r="AY146" i="2"/>
  <c r="AZ146" i="2"/>
  <c r="BA146" i="2"/>
  <c r="BB146" i="2"/>
  <c r="BC146" i="2"/>
  <c r="BD146" i="2"/>
  <c r="BE146" i="2"/>
  <c r="BF146" i="2"/>
  <c r="BG146" i="2"/>
  <c r="BH146" i="2"/>
  <c r="BI146" i="2"/>
  <c r="AP147" i="2"/>
  <c r="AQ147" i="2"/>
  <c r="AR147" i="2"/>
  <c r="AS147" i="2"/>
  <c r="AT147" i="2"/>
  <c r="AU147" i="2"/>
  <c r="AV147" i="2"/>
  <c r="AW147" i="2"/>
  <c r="AX147" i="2"/>
  <c r="AY147" i="2"/>
  <c r="AZ147" i="2"/>
  <c r="BA147" i="2"/>
  <c r="BB147" i="2"/>
  <c r="BC147" i="2"/>
  <c r="BD147" i="2"/>
  <c r="BE147" i="2"/>
  <c r="BF147" i="2"/>
  <c r="BG147" i="2"/>
  <c r="BH147" i="2"/>
  <c r="BI147" i="2"/>
  <c r="AP149" i="2"/>
  <c r="AQ149" i="2"/>
  <c r="AR149" i="2"/>
  <c r="AS149" i="2"/>
  <c r="AT149" i="2"/>
  <c r="AU149" i="2"/>
  <c r="AV149" i="2"/>
  <c r="AW149" i="2"/>
  <c r="AX149" i="2"/>
  <c r="AY149" i="2"/>
  <c r="AZ149" i="2"/>
  <c r="BA149" i="2"/>
  <c r="BB149" i="2"/>
  <c r="BC149" i="2"/>
  <c r="BD149" i="2"/>
  <c r="BE149" i="2"/>
  <c r="BF149" i="2"/>
  <c r="BG149" i="2"/>
  <c r="BH149" i="2"/>
  <c r="BI149" i="2"/>
  <c r="AP150" i="2"/>
  <c r="AQ150" i="2"/>
  <c r="AR150" i="2"/>
  <c r="AS150" i="2"/>
  <c r="AT150" i="2"/>
  <c r="AU150" i="2"/>
  <c r="AV150" i="2"/>
  <c r="AW150" i="2"/>
  <c r="AX150" i="2"/>
  <c r="AY150" i="2"/>
  <c r="AZ150" i="2"/>
  <c r="BA150" i="2"/>
  <c r="BB150" i="2"/>
  <c r="BC150" i="2"/>
  <c r="BD150" i="2"/>
  <c r="BE150" i="2"/>
  <c r="BF150" i="2"/>
  <c r="BG150" i="2"/>
  <c r="BH150" i="2"/>
  <c r="BI150" i="2"/>
  <c r="AP151" i="2"/>
  <c r="AQ151" i="2"/>
  <c r="AR151" i="2"/>
  <c r="AS151" i="2"/>
  <c r="AT151" i="2"/>
  <c r="AU151" i="2"/>
  <c r="AV151" i="2"/>
  <c r="AW151" i="2"/>
  <c r="AX151" i="2"/>
  <c r="AY151" i="2"/>
  <c r="AZ151" i="2"/>
  <c r="BA151" i="2"/>
  <c r="BB151" i="2"/>
  <c r="BC151" i="2"/>
  <c r="BD151" i="2"/>
  <c r="BE151" i="2"/>
  <c r="BF151" i="2"/>
  <c r="BG151" i="2"/>
  <c r="BH151" i="2"/>
  <c r="BI151" i="2"/>
  <c r="AP152" i="2"/>
  <c r="AQ152" i="2"/>
  <c r="AR152" i="2"/>
  <c r="AS152" i="2"/>
  <c r="AT152" i="2"/>
  <c r="AU152" i="2"/>
  <c r="AV152" i="2"/>
  <c r="AW152" i="2"/>
  <c r="AX152" i="2"/>
  <c r="AY152" i="2"/>
  <c r="AZ152" i="2"/>
  <c r="BA152" i="2"/>
  <c r="BB152" i="2"/>
  <c r="BC152" i="2"/>
  <c r="BD152" i="2"/>
  <c r="BE152" i="2"/>
  <c r="BF152" i="2"/>
  <c r="BG152" i="2"/>
  <c r="BH152" i="2"/>
  <c r="BI152" i="2"/>
  <c r="AP153" i="2"/>
  <c r="AQ153" i="2"/>
  <c r="AR153" i="2"/>
  <c r="AS153" i="2"/>
  <c r="AT153" i="2"/>
  <c r="AU153" i="2"/>
  <c r="AV153" i="2"/>
  <c r="AW153" i="2"/>
  <c r="AX153" i="2"/>
  <c r="AY153" i="2"/>
  <c r="AZ153" i="2"/>
  <c r="BA153" i="2"/>
  <c r="BB153" i="2"/>
  <c r="BC153" i="2"/>
  <c r="BD153" i="2"/>
  <c r="BE153" i="2"/>
  <c r="BF153" i="2"/>
  <c r="BG153" i="2"/>
  <c r="BH153" i="2"/>
  <c r="BI153" i="2"/>
  <c r="AP154" i="2"/>
  <c r="AQ154" i="2"/>
  <c r="AR154" i="2"/>
  <c r="AS154" i="2"/>
  <c r="AT154" i="2"/>
  <c r="AU154" i="2"/>
  <c r="AV154" i="2"/>
  <c r="AW154" i="2"/>
  <c r="AX154" i="2"/>
  <c r="AY154" i="2"/>
  <c r="AZ154" i="2"/>
  <c r="BA154" i="2"/>
  <c r="BB154" i="2"/>
  <c r="BC154" i="2"/>
  <c r="BD154" i="2"/>
  <c r="BE154" i="2"/>
  <c r="BF154" i="2"/>
  <c r="BG154" i="2"/>
  <c r="BH154" i="2"/>
  <c r="BI154" i="2"/>
  <c r="AP155" i="2"/>
  <c r="AQ155" i="2"/>
  <c r="AR155" i="2"/>
  <c r="AS155" i="2"/>
  <c r="AT155" i="2"/>
  <c r="AU155" i="2"/>
  <c r="AV155" i="2"/>
  <c r="AW155" i="2"/>
  <c r="AX155" i="2"/>
  <c r="AY155" i="2"/>
  <c r="AZ155" i="2"/>
  <c r="BA155" i="2"/>
  <c r="BB155" i="2"/>
  <c r="BC155" i="2"/>
  <c r="BD155" i="2"/>
  <c r="BE155" i="2"/>
  <c r="BF155" i="2"/>
  <c r="BG155" i="2"/>
  <c r="BH155" i="2"/>
  <c r="BI155" i="2"/>
  <c r="AP156" i="2"/>
  <c r="AQ156" i="2"/>
  <c r="AR156" i="2"/>
  <c r="AS156" i="2"/>
  <c r="AT156" i="2"/>
  <c r="AU156" i="2"/>
  <c r="AV156" i="2"/>
  <c r="AW156" i="2"/>
  <c r="AX156" i="2"/>
  <c r="AY156" i="2"/>
  <c r="AZ156" i="2"/>
  <c r="BA156" i="2"/>
  <c r="BB156" i="2"/>
  <c r="BC156" i="2"/>
  <c r="BD156" i="2"/>
  <c r="BE156" i="2"/>
  <c r="BF156" i="2"/>
  <c r="BG156" i="2"/>
  <c r="BH156" i="2"/>
  <c r="BI156" i="2"/>
  <c r="AP157" i="2"/>
  <c r="AQ157" i="2"/>
  <c r="AR157" i="2"/>
  <c r="AS157" i="2"/>
  <c r="AT157" i="2"/>
  <c r="AU157" i="2"/>
  <c r="AV157" i="2"/>
  <c r="AW157" i="2"/>
  <c r="AX157" i="2"/>
  <c r="AY157" i="2"/>
  <c r="AZ157" i="2"/>
  <c r="BA157" i="2"/>
  <c r="BB157" i="2"/>
  <c r="BC157" i="2"/>
  <c r="BD157" i="2"/>
  <c r="BE157" i="2"/>
  <c r="BF157" i="2"/>
  <c r="BG157" i="2"/>
  <c r="BH157" i="2"/>
  <c r="BI157" i="2"/>
  <c r="AP158" i="2"/>
  <c r="AQ158" i="2"/>
  <c r="AR158" i="2"/>
  <c r="AS158" i="2"/>
  <c r="AT158" i="2"/>
  <c r="AU158" i="2"/>
  <c r="AV158" i="2"/>
  <c r="AW158" i="2"/>
  <c r="AX158" i="2"/>
  <c r="AY158" i="2"/>
  <c r="AZ158" i="2"/>
  <c r="BA158" i="2"/>
  <c r="BB158" i="2"/>
  <c r="BC158" i="2"/>
  <c r="BD158" i="2"/>
  <c r="BE158" i="2"/>
  <c r="BF158" i="2"/>
  <c r="BG158" i="2"/>
  <c r="BH158" i="2"/>
  <c r="BI158" i="2"/>
  <c r="AP159" i="2"/>
  <c r="AQ159" i="2"/>
  <c r="AR159" i="2"/>
  <c r="AS159" i="2"/>
  <c r="AT159" i="2"/>
  <c r="AU159" i="2"/>
  <c r="AV159" i="2"/>
  <c r="AW159" i="2"/>
  <c r="AX159" i="2"/>
  <c r="AY159" i="2"/>
  <c r="AZ159" i="2"/>
  <c r="BA159" i="2"/>
  <c r="BB159" i="2"/>
  <c r="BC159" i="2"/>
  <c r="BD159" i="2"/>
  <c r="BE159" i="2"/>
  <c r="BF159" i="2"/>
  <c r="BG159" i="2"/>
  <c r="BH159" i="2"/>
  <c r="BI159" i="2"/>
  <c r="AP160" i="2"/>
  <c r="AQ160" i="2"/>
  <c r="AR160" i="2"/>
  <c r="AS160" i="2"/>
  <c r="AT160" i="2"/>
  <c r="AU160" i="2"/>
  <c r="AV160" i="2"/>
  <c r="AW160" i="2"/>
  <c r="AX160" i="2"/>
  <c r="AY160" i="2"/>
  <c r="AZ160" i="2"/>
  <c r="BA160" i="2"/>
  <c r="BB160" i="2"/>
  <c r="BC160" i="2"/>
  <c r="BD160" i="2"/>
  <c r="BE160" i="2"/>
  <c r="BF160" i="2"/>
  <c r="BG160" i="2"/>
  <c r="BH160" i="2"/>
  <c r="BI160" i="2"/>
  <c r="AP161" i="2"/>
  <c r="AQ161" i="2"/>
  <c r="AR161" i="2"/>
  <c r="AS161" i="2"/>
  <c r="AT161" i="2"/>
  <c r="AU161" i="2"/>
  <c r="AV161" i="2"/>
  <c r="AW161" i="2"/>
  <c r="AX161" i="2"/>
  <c r="AY161" i="2"/>
  <c r="AZ161" i="2"/>
  <c r="BA161" i="2"/>
  <c r="BB161" i="2"/>
  <c r="BC161" i="2"/>
  <c r="BD161" i="2"/>
  <c r="BE161" i="2"/>
  <c r="BF161" i="2"/>
  <c r="BG161" i="2"/>
  <c r="BH161" i="2"/>
  <c r="BI161" i="2"/>
  <c r="AP162" i="2"/>
  <c r="AQ162" i="2"/>
  <c r="AR162" i="2"/>
  <c r="AS162" i="2"/>
  <c r="AT162" i="2"/>
  <c r="AU162" i="2"/>
  <c r="AV162" i="2"/>
  <c r="AW162" i="2"/>
  <c r="AX162" i="2"/>
  <c r="AY162" i="2"/>
  <c r="AZ162" i="2"/>
  <c r="BA162" i="2"/>
  <c r="BB162" i="2"/>
  <c r="BC162" i="2"/>
  <c r="BD162" i="2"/>
  <c r="BE162" i="2"/>
  <c r="BF162" i="2"/>
  <c r="BG162" i="2"/>
  <c r="BH162" i="2"/>
  <c r="BI162" i="2"/>
  <c r="AP166" i="2"/>
  <c r="AQ166" i="2"/>
  <c r="AR166" i="2"/>
  <c r="AS166" i="2"/>
  <c r="AT166" i="2"/>
  <c r="AU166" i="2"/>
  <c r="AV166" i="2"/>
  <c r="AW166" i="2"/>
  <c r="AX166" i="2"/>
  <c r="AY166" i="2"/>
  <c r="AZ166" i="2"/>
  <c r="BA166" i="2"/>
  <c r="BB166" i="2"/>
  <c r="BC166" i="2"/>
  <c r="BD166" i="2"/>
  <c r="BE166" i="2"/>
  <c r="BF166" i="2"/>
  <c r="BG166" i="2"/>
  <c r="BH166" i="2"/>
  <c r="BI166" i="2"/>
  <c r="AP167" i="2"/>
  <c r="AQ167" i="2"/>
  <c r="AR167" i="2"/>
  <c r="AS167" i="2"/>
  <c r="AT167" i="2"/>
  <c r="AU167" i="2"/>
  <c r="AV167" i="2"/>
  <c r="AW167" i="2"/>
  <c r="AX167" i="2"/>
  <c r="AY167" i="2"/>
  <c r="AZ167" i="2"/>
  <c r="BA167" i="2"/>
  <c r="BB167" i="2"/>
  <c r="BC167" i="2"/>
  <c r="BD167" i="2"/>
  <c r="BE167" i="2"/>
  <c r="BF167" i="2"/>
  <c r="BG167" i="2"/>
  <c r="BH167" i="2"/>
  <c r="BI167" i="2"/>
  <c r="AP168" i="2"/>
  <c r="AQ168" i="2"/>
  <c r="AR168" i="2"/>
  <c r="AS168" i="2"/>
  <c r="AT168" i="2"/>
  <c r="AU168" i="2"/>
  <c r="AV168" i="2"/>
  <c r="AW168" i="2"/>
  <c r="AX168" i="2"/>
  <c r="AY168" i="2"/>
  <c r="AZ168" i="2"/>
  <c r="BA168" i="2"/>
  <c r="BB168" i="2"/>
  <c r="BC168" i="2"/>
  <c r="BD168" i="2"/>
  <c r="BE168" i="2"/>
  <c r="BF168" i="2"/>
  <c r="BG168" i="2"/>
  <c r="BH168" i="2"/>
  <c r="BI168" i="2"/>
  <c r="AP169" i="2"/>
  <c r="AQ169" i="2"/>
  <c r="AR169" i="2"/>
  <c r="AS169" i="2"/>
  <c r="AT169" i="2"/>
  <c r="AU169" i="2"/>
  <c r="AV169" i="2"/>
  <c r="AW169" i="2"/>
  <c r="AX169" i="2"/>
  <c r="AY169" i="2"/>
  <c r="AZ169" i="2"/>
  <c r="BA169" i="2"/>
  <c r="BB169" i="2"/>
  <c r="BC169" i="2"/>
  <c r="BD169" i="2"/>
  <c r="BE169" i="2"/>
  <c r="BF169" i="2"/>
  <c r="BG169" i="2"/>
  <c r="BH169" i="2"/>
  <c r="BI169" i="2"/>
  <c r="AP170" i="2"/>
  <c r="AQ170" i="2"/>
  <c r="AR170" i="2"/>
  <c r="AS170" i="2"/>
  <c r="AT170" i="2"/>
  <c r="AU170" i="2"/>
  <c r="AV170" i="2"/>
  <c r="AW170" i="2"/>
  <c r="AX170" i="2"/>
  <c r="AY170" i="2"/>
  <c r="AZ170" i="2"/>
  <c r="BA170" i="2"/>
  <c r="BB170" i="2"/>
  <c r="BC170" i="2"/>
  <c r="BD170" i="2"/>
  <c r="BE170" i="2"/>
  <c r="BF170" i="2"/>
  <c r="BG170" i="2"/>
  <c r="BH170" i="2"/>
  <c r="BI170" i="2"/>
  <c r="AP171" i="2"/>
  <c r="AQ171" i="2"/>
  <c r="AR171" i="2"/>
  <c r="AS171" i="2"/>
  <c r="AT171" i="2"/>
  <c r="AU171" i="2"/>
  <c r="AV171" i="2"/>
  <c r="AW171" i="2"/>
  <c r="AX171" i="2"/>
  <c r="AY171" i="2"/>
  <c r="AZ171" i="2"/>
  <c r="BA171" i="2"/>
  <c r="BB171" i="2"/>
  <c r="BC171" i="2"/>
  <c r="BD171" i="2"/>
  <c r="BE171" i="2"/>
  <c r="BF171" i="2"/>
  <c r="BG171" i="2"/>
  <c r="BH171" i="2"/>
  <c r="BI171" i="2"/>
  <c r="AP172" i="2"/>
  <c r="AQ172" i="2"/>
  <c r="AR172" i="2"/>
  <c r="AS172" i="2"/>
  <c r="AT172" i="2"/>
  <c r="AU172" i="2"/>
  <c r="AV172" i="2"/>
  <c r="AW172" i="2"/>
  <c r="AX172" i="2"/>
  <c r="AY172" i="2"/>
  <c r="AZ172" i="2"/>
  <c r="BA172" i="2"/>
  <c r="BB172" i="2"/>
  <c r="BC172" i="2"/>
  <c r="BD172" i="2"/>
  <c r="BE172" i="2"/>
  <c r="BF172" i="2"/>
  <c r="BG172" i="2"/>
  <c r="BH172" i="2"/>
  <c r="BI172" i="2"/>
  <c r="AP173" i="2"/>
  <c r="AQ173" i="2"/>
  <c r="AR173" i="2"/>
  <c r="AS173" i="2"/>
  <c r="AT173" i="2"/>
  <c r="AU173" i="2"/>
  <c r="AV173" i="2"/>
  <c r="AW173" i="2"/>
  <c r="AX173" i="2"/>
  <c r="AY173" i="2"/>
  <c r="AZ173" i="2"/>
  <c r="BA173" i="2"/>
  <c r="BB173" i="2"/>
  <c r="BC173" i="2"/>
  <c r="BD173" i="2"/>
  <c r="BE173" i="2"/>
  <c r="BF173" i="2"/>
  <c r="BG173" i="2"/>
  <c r="BH173" i="2"/>
  <c r="BI173" i="2"/>
  <c r="AP174" i="2"/>
  <c r="AQ174" i="2"/>
  <c r="AR174" i="2"/>
  <c r="AS174" i="2"/>
  <c r="AT174" i="2"/>
  <c r="AU174" i="2"/>
  <c r="AV174" i="2"/>
  <c r="AW174" i="2"/>
  <c r="AX174" i="2"/>
  <c r="AY174" i="2"/>
  <c r="AZ174" i="2"/>
  <c r="BA174" i="2"/>
  <c r="BB174" i="2"/>
  <c r="BC174" i="2"/>
  <c r="BD174" i="2"/>
  <c r="BE174" i="2"/>
  <c r="BF174" i="2"/>
  <c r="BG174" i="2"/>
  <c r="BH174" i="2"/>
  <c r="BI174" i="2"/>
  <c r="AP175" i="2"/>
  <c r="AQ175" i="2"/>
  <c r="AR175" i="2"/>
  <c r="AS175" i="2"/>
  <c r="AT175" i="2"/>
  <c r="AU175" i="2"/>
  <c r="AV175" i="2"/>
  <c r="AW175" i="2"/>
  <c r="AX175" i="2"/>
  <c r="AY175" i="2"/>
  <c r="AZ175" i="2"/>
  <c r="BA175" i="2"/>
  <c r="BB175" i="2"/>
  <c r="BC175" i="2"/>
  <c r="BD175" i="2"/>
  <c r="BE175" i="2"/>
  <c r="BF175" i="2"/>
  <c r="BG175" i="2"/>
  <c r="BH175" i="2"/>
  <c r="BI175" i="2"/>
  <c r="AP176" i="2"/>
  <c r="AQ176" i="2"/>
  <c r="AR176" i="2"/>
  <c r="AS176" i="2"/>
  <c r="AT176" i="2"/>
  <c r="AU176" i="2"/>
  <c r="AV176" i="2"/>
  <c r="AW176" i="2"/>
  <c r="AX176" i="2"/>
  <c r="AY176" i="2"/>
  <c r="AZ176" i="2"/>
  <c r="BA176" i="2"/>
  <c r="BB176" i="2"/>
  <c r="BC176" i="2"/>
  <c r="BD176" i="2"/>
  <c r="BE176" i="2"/>
  <c r="BF176" i="2"/>
  <c r="BG176" i="2"/>
  <c r="BH176" i="2"/>
  <c r="BI176" i="2"/>
  <c r="AQ11" i="2"/>
  <c r="AR11" i="2"/>
  <c r="AS11" i="2"/>
  <c r="AT11" i="2"/>
  <c r="AU11" i="2"/>
  <c r="AV11" i="2"/>
  <c r="AW11" i="2"/>
  <c r="AX11" i="2"/>
  <c r="AY11" i="2"/>
  <c r="AZ11" i="2"/>
  <c r="BA11" i="2"/>
  <c r="BB11" i="2"/>
  <c r="BC11" i="2"/>
  <c r="BD11" i="2"/>
  <c r="BE11" i="2"/>
  <c r="BF11" i="2"/>
  <c r="BG11" i="2"/>
  <c r="BH11" i="2"/>
  <c r="BI11" i="2"/>
  <c r="AQ13" i="2"/>
  <c r="AR13" i="2"/>
  <c r="AS13" i="2"/>
  <c r="AT13" i="2"/>
  <c r="AU13" i="2"/>
  <c r="AV13" i="2"/>
  <c r="AW13" i="2"/>
  <c r="AX13" i="2"/>
  <c r="AY13" i="2"/>
  <c r="AZ13" i="2"/>
  <c r="BA13" i="2"/>
  <c r="BB13" i="2"/>
  <c r="BC13" i="2"/>
  <c r="BD13" i="2"/>
  <c r="BE13" i="2"/>
  <c r="BF13" i="2"/>
  <c r="BG13" i="2"/>
  <c r="BH13" i="2"/>
  <c r="BI13" i="2"/>
  <c r="AQ15" i="2"/>
  <c r="AR15" i="2"/>
  <c r="AS15" i="2"/>
  <c r="AT15" i="2"/>
  <c r="AU15" i="2"/>
  <c r="AV15" i="2"/>
  <c r="AW15" i="2"/>
  <c r="AX15" i="2"/>
  <c r="AY15" i="2"/>
  <c r="AZ15" i="2"/>
  <c r="BA15" i="2"/>
  <c r="BB15" i="2"/>
  <c r="BC15" i="2"/>
  <c r="BD15" i="2"/>
  <c r="BE15" i="2"/>
  <c r="BF15" i="2"/>
  <c r="BG15" i="2"/>
  <c r="BH15" i="2"/>
  <c r="BI15" i="2"/>
  <c r="AQ16" i="2"/>
  <c r="AR16" i="2"/>
  <c r="AS16" i="2"/>
  <c r="AT16" i="2"/>
  <c r="AU16" i="2"/>
  <c r="AV16" i="2"/>
  <c r="AW16" i="2"/>
  <c r="AX16" i="2"/>
  <c r="AY16" i="2"/>
  <c r="AZ16" i="2"/>
  <c r="BA16" i="2"/>
  <c r="BB16" i="2"/>
  <c r="BC16" i="2"/>
  <c r="BD16" i="2"/>
  <c r="BE16" i="2"/>
  <c r="BF16" i="2"/>
  <c r="BG16" i="2"/>
  <c r="BH16" i="2"/>
  <c r="BI16" i="2"/>
  <c r="AQ17" i="2"/>
  <c r="AR17" i="2"/>
  <c r="AS17" i="2"/>
  <c r="AT17" i="2"/>
  <c r="AU17" i="2"/>
  <c r="AV17" i="2"/>
  <c r="AW17" i="2"/>
  <c r="AX17" i="2"/>
  <c r="AY17" i="2"/>
  <c r="AZ17" i="2"/>
  <c r="BA17" i="2"/>
  <c r="BB17" i="2"/>
  <c r="BC17" i="2"/>
  <c r="BD17" i="2"/>
  <c r="BE17" i="2"/>
  <c r="BF17" i="2"/>
  <c r="BG17" i="2"/>
  <c r="BH17" i="2"/>
  <c r="BI17" i="2"/>
  <c r="AQ26" i="2"/>
  <c r="AR26" i="2"/>
  <c r="AS26" i="2"/>
  <c r="AT26" i="2"/>
  <c r="AU26" i="2"/>
  <c r="AV26" i="2"/>
  <c r="AW26" i="2"/>
  <c r="AX26" i="2"/>
  <c r="AY26" i="2"/>
  <c r="AZ26" i="2"/>
  <c r="BA26" i="2"/>
  <c r="BB26" i="2"/>
  <c r="BC26" i="2"/>
  <c r="BD26" i="2"/>
  <c r="BE26" i="2"/>
  <c r="BF26" i="2"/>
  <c r="BG26" i="2"/>
  <c r="BH26" i="2"/>
  <c r="BI26" i="2"/>
  <c r="AQ27" i="2"/>
  <c r="AR27" i="2"/>
  <c r="AS27" i="2"/>
  <c r="AT27" i="2"/>
  <c r="AU27" i="2"/>
  <c r="AV27" i="2"/>
  <c r="AW27" i="2"/>
  <c r="AX27" i="2"/>
  <c r="AY27" i="2"/>
  <c r="AZ27" i="2"/>
  <c r="BA27" i="2"/>
  <c r="BB27" i="2"/>
  <c r="BC27" i="2"/>
  <c r="BD27" i="2"/>
  <c r="BE27" i="2"/>
  <c r="BF27" i="2"/>
  <c r="BG27" i="2"/>
  <c r="BH27" i="2"/>
  <c r="BI27" i="2"/>
  <c r="AQ28" i="2"/>
  <c r="AR28" i="2"/>
  <c r="AS28" i="2"/>
  <c r="AT28" i="2"/>
  <c r="AU28" i="2"/>
  <c r="AV28" i="2"/>
  <c r="AW28" i="2"/>
  <c r="AX28" i="2"/>
  <c r="AY28" i="2"/>
  <c r="AZ28" i="2"/>
  <c r="BA28" i="2"/>
  <c r="BB28" i="2"/>
  <c r="BC28" i="2"/>
  <c r="BD28" i="2"/>
  <c r="BE28" i="2"/>
  <c r="BF28" i="2"/>
  <c r="BG28" i="2"/>
  <c r="BH28" i="2"/>
  <c r="BI28" i="2"/>
  <c r="AQ29" i="2"/>
  <c r="AR29" i="2"/>
  <c r="AS29" i="2"/>
  <c r="AT29" i="2"/>
  <c r="AU29" i="2"/>
  <c r="AV29" i="2"/>
  <c r="AW29" i="2"/>
  <c r="AX29" i="2"/>
  <c r="AY29" i="2"/>
  <c r="AZ29" i="2"/>
  <c r="BA29" i="2"/>
  <c r="BB29" i="2"/>
  <c r="BC29" i="2"/>
  <c r="BD29" i="2"/>
  <c r="BE29" i="2"/>
  <c r="BF29" i="2"/>
  <c r="BG29" i="2"/>
  <c r="BH29" i="2"/>
  <c r="BI29" i="2"/>
  <c r="AQ30" i="2"/>
  <c r="AR30" i="2"/>
  <c r="AS30" i="2"/>
  <c r="AT30" i="2"/>
  <c r="AU30" i="2"/>
  <c r="AV30" i="2"/>
  <c r="AW30" i="2"/>
  <c r="AX30" i="2"/>
  <c r="AY30" i="2"/>
  <c r="AZ30" i="2"/>
  <c r="BA30" i="2"/>
  <c r="BB30" i="2"/>
  <c r="BC30" i="2"/>
  <c r="BD30" i="2"/>
  <c r="BE30" i="2"/>
  <c r="BF30" i="2"/>
  <c r="BG30" i="2"/>
  <c r="BH30" i="2"/>
  <c r="BI30" i="2"/>
  <c r="AQ31" i="2"/>
  <c r="AR31" i="2"/>
  <c r="AS31" i="2"/>
  <c r="AT31" i="2"/>
  <c r="AU31" i="2"/>
  <c r="AV31" i="2"/>
  <c r="AW31" i="2"/>
  <c r="AX31" i="2"/>
  <c r="AY31" i="2"/>
  <c r="AZ31" i="2"/>
  <c r="BA31" i="2"/>
  <c r="BB31" i="2"/>
  <c r="BC31" i="2"/>
  <c r="BD31" i="2"/>
  <c r="BE31" i="2"/>
  <c r="BF31" i="2"/>
  <c r="BG31" i="2"/>
  <c r="BH31" i="2"/>
  <c r="BI31" i="2"/>
  <c r="AQ32" i="2"/>
  <c r="AR32" i="2"/>
  <c r="AS32" i="2"/>
  <c r="AT32" i="2"/>
  <c r="AU32" i="2"/>
  <c r="AV32" i="2"/>
  <c r="AW32" i="2"/>
  <c r="AX32" i="2"/>
  <c r="AY32" i="2"/>
  <c r="AZ32" i="2"/>
  <c r="BA32" i="2"/>
  <c r="BB32" i="2"/>
  <c r="BC32" i="2"/>
  <c r="BD32" i="2"/>
  <c r="BE32" i="2"/>
  <c r="BF32" i="2"/>
  <c r="BG32" i="2"/>
  <c r="BH32" i="2"/>
  <c r="BI32" i="2"/>
  <c r="AQ33" i="2"/>
  <c r="AR33" i="2"/>
  <c r="AS33" i="2"/>
  <c r="AT33" i="2"/>
  <c r="AU33" i="2"/>
  <c r="AV33" i="2"/>
  <c r="AW33" i="2"/>
  <c r="AX33" i="2"/>
  <c r="AY33" i="2"/>
  <c r="AZ33" i="2"/>
  <c r="BA33" i="2"/>
  <c r="BB33" i="2"/>
  <c r="BC33" i="2"/>
  <c r="BD33" i="2"/>
  <c r="BE33" i="2"/>
  <c r="BF33" i="2"/>
  <c r="BG33" i="2"/>
  <c r="BH33" i="2"/>
  <c r="BI33" i="2"/>
  <c r="AP34" i="2"/>
  <c r="AQ34" i="2"/>
  <c r="AR34" i="2"/>
  <c r="AS34" i="2"/>
  <c r="AT34" i="2"/>
  <c r="AU34" i="2"/>
  <c r="AV34" i="2"/>
  <c r="AW34" i="2"/>
  <c r="AX34" i="2"/>
  <c r="AY34" i="2"/>
  <c r="AZ34" i="2"/>
  <c r="BA34" i="2"/>
  <c r="BB34" i="2"/>
  <c r="BC34" i="2"/>
  <c r="BD34" i="2"/>
  <c r="BE34" i="2"/>
  <c r="BF34" i="2"/>
  <c r="BG34" i="2"/>
  <c r="BH34" i="2"/>
  <c r="BI34" i="2"/>
  <c r="AP43" i="2"/>
  <c r="AQ43" i="2"/>
  <c r="AR43" i="2"/>
  <c r="AS43" i="2"/>
  <c r="AT43" i="2"/>
  <c r="AU43" i="2"/>
  <c r="AV43" i="2"/>
  <c r="AW43" i="2"/>
  <c r="AX43" i="2"/>
  <c r="AY43" i="2"/>
  <c r="AZ43" i="2"/>
  <c r="BA43" i="2"/>
  <c r="BB43" i="2"/>
  <c r="BC43" i="2"/>
  <c r="BD43" i="2"/>
  <c r="BE43" i="2"/>
  <c r="BF43" i="2"/>
  <c r="BG43" i="2"/>
  <c r="BH43" i="2"/>
  <c r="BI43" i="2"/>
  <c r="AP44" i="2"/>
  <c r="AQ44" i="2"/>
  <c r="AR44" i="2"/>
  <c r="AS44" i="2"/>
  <c r="AT44" i="2"/>
  <c r="AU44" i="2"/>
  <c r="AV44" i="2"/>
  <c r="AW44" i="2"/>
  <c r="AX44" i="2"/>
  <c r="AY44" i="2"/>
  <c r="AZ44" i="2"/>
  <c r="BA44" i="2"/>
  <c r="BB44" i="2"/>
  <c r="BC44" i="2"/>
  <c r="BD44" i="2"/>
  <c r="BE44" i="2"/>
  <c r="BF44" i="2"/>
  <c r="BG44" i="2"/>
  <c r="BH44" i="2"/>
  <c r="BI44" i="2"/>
  <c r="AP45" i="2"/>
  <c r="AQ45" i="2"/>
  <c r="AR45" i="2"/>
  <c r="AS45" i="2"/>
  <c r="AT45" i="2"/>
  <c r="AU45" i="2"/>
  <c r="AV45" i="2"/>
  <c r="AW45" i="2"/>
  <c r="AX45" i="2"/>
  <c r="AY45" i="2"/>
  <c r="AZ45" i="2"/>
  <c r="BA45" i="2"/>
  <c r="BB45" i="2"/>
  <c r="BC45" i="2"/>
  <c r="BD45" i="2"/>
  <c r="BE45" i="2"/>
  <c r="BF45" i="2"/>
  <c r="BG45" i="2"/>
  <c r="BH45" i="2"/>
  <c r="BI45" i="2"/>
  <c r="AP54" i="2"/>
  <c r="AQ54" i="2"/>
  <c r="AR54" i="2"/>
  <c r="AS54" i="2"/>
  <c r="AT54" i="2"/>
  <c r="AU54" i="2"/>
  <c r="AV54" i="2"/>
  <c r="AW54" i="2"/>
  <c r="AX54" i="2"/>
  <c r="AY54" i="2"/>
  <c r="AZ54" i="2"/>
  <c r="BA54" i="2"/>
  <c r="BB54" i="2"/>
  <c r="BC54" i="2"/>
  <c r="BD54" i="2"/>
  <c r="BE54" i="2"/>
  <c r="BF54" i="2"/>
  <c r="BG54" i="2"/>
  <c r="BH54" i="2"/>
  <c r="BI54" i="2"/>
  <c r="AP55" i="2"/>
  <c r="AQ55" i="2"/>
  <c r="AR55" i="2"/>
  <c r="AS55" i="2"/>
  <c r="AT55" i="2"/>
  <c r="AU55" i="2"/>
  <c r="AV55" i="2"/>
  <c r="AW55" i="2"/>
  <c r="AX55" i="2"/>
  <c r="AY55" i="2"/>
  <c r="AZ55" i="2"/>
  <c r="BA55" i="2"/>
  <c r="BB55" i="2"/>
  <c r="BC55" i="2"/>
  <c r="BD55" i="2"/>
  <c r="BE55" i="2"/>
  <c r="BF55" i="2"/>
  <c r="BG55" i="2"/>
  <c r="BH55" i="2"/>
  <c r="BI55" i="2"/>
  <c r="AT56" i="2"/>
  <c r="AU56" i="2"/>
  <c r="AV56" i="2"/>
  <c r="AW56" i="2"/>
  <c r="AX56" i="2"/>
  <c r="AY56" i="2"/>
  <c r="AZ56" i="2"/>
  <c r="BA56" i="2"/>
  <c r="BB56" i="2"/>
  <c r="BC56" i="2"/>
  <c r="BD56" i="2"/>
  <c r="BE56" i="2"/>
  <c r="BF56" i="2"/>
  <c r="BG56" i="2"/>
  <c r="BH56" i="2"/>
  <c r="BI56" i="2"/>
  <c r="AP57" i="2"/>
  <c r="AQ57" i="2"/>
  <c r="AR57" i="2"/>
  <c r="AS57" i="2"/>
  <c r="AT57" i="2"/>
  <c r="AU57" i="2"/>
  <c r="AV57" i="2"/>
  <c r="AW57" i="2"/>
  <c r="AX57" i="2"/>
  <c r="AY57" i="2"/>
  <c r="AZ57" i="2"/>
  <c r="BA57" i="2"/>
  <c r="BB57" i="2"/>
  <c r="BC57" i="2"/>
  <c r="BD57" i="2"/>
  <c r="BE57" i="2"/>
  <c r="BF57" i="2"/>
  <c r="BG57" i="2"/>
  <c r="BH57" i="2"/>
  <c r="BI57" i="2"/>
  <c r="AP58" i="2"/>
  <c r="AQ58" i="2"/>
  <c r="AR58" i="2"/>
  <c r="AS58" i="2"/>
  <c r="AT58" i="2"/>
  <c r="AU58" i="2"/>
  <c r="AV58" i="2"/>
  <c r="AW58" i="2"/>
  <c r="AX58" i="2"/>
  <c r="AY58" i="2"/>
  <c r="AZ58" i="2"/>
  <c r="BA58" i="2"/>
  <c r="BB58" i="2"/>
  <c r="BC58" i="2"/>
  <c r="BD58" i="2"/>
  <c r="BE58" i="2"/>
  <c r="BF58" i="2"/>
  <c r="BG58" i="2"/>
  <c r="BH58" i="2"/>
  <c r="BI58" i="2"/>
  <c r="AQ10" i="2"/>
  <c r="AR10" i="2"/>
  <c r="AS10" i="2"/>
  <c r="AT10" i="2"/>
  <c r="AU10" i="2"/>
  <c r="AV10" i="2"/>
  <c r="AW10" i="2"/>
  <c r="AX10" i="2"/>
  <c r="AY10" i="2"/>
  <c r="AZ10" i="2"/>
  <c r="BA10" i="2"/>
  <c r="BB10" i="2"/>
  <c r="BC10" i="2"/>
  <c r="BD10" i="2"/>
  <c r="BE10" i="2"/>
  <c r="BF10" i="2"/>
  <c r="BG10" i="2"/>
  <c r="BH10" i="2"/>
  <c r="BI10" i="2"/>
  <c r="AP13" i="2"/>
  <c r="AP15" i="2"/>
  <c r="AP16" i="2"/>
  <c r="AP17" i="2"/>
  <c r="AP26" i="2"/>
  <c r="AP27" i="2"/>
  <c r="AP29" i="2"/>
  <c r="AP30" i="2"/>
  <c r="AP31" i="2"/>
  <c r="AP32" i="2"/>
  <c r="AP33" i="2"/>
  <c r="AQ56" i="2"/>
  <c r="AP11" i="2"/>
  <c r="AF57" i="2"/>
  <c r="AF58" i="2"/>
  <c r="G26" i="1"/>
  <c r="G29" i="1"/>
  <c r="G28" i="1"/>
  <c r="G27" i="1"/>
  <c r="H7" i="1"/>
  <c r="F14" i="1"/>
  <c r="F15" i="1"/>
  <c r="F17" i="1"/>
  <c r="F18" i="1"/>
  <c r="F20" i="1"/>
  <c r="F21" i="1"/>
  <c r="F22" i="1"/>
  <c r="DN87" i="3"/>
  <c r="DN86" i="3"/>
  <c r="DN85" i="3"/>
  <c r="DN84" i="3"/>
  <c r="DN83" i="3"/>
  <c r="DN81" i="3"/>
  <c r="DN80" i="3"/>
  <c r="DN79" i="3"/>
  <c r="J77" i="5" s="1"/>
  <c r="DN78" i="3"/>
  <c r="DN77" i="3"/>
  <c r="DN75" i="3"/>
  <c r="DN74" i="3"/>
  <c r="DN73" i="3"/>
  <c r="DN72" i="3"/>
  <c r="DN71" i="3"/>
  <c r="DN69" i="3"/>
  <c r="J80" i="5" s="1"/>
  <c r="S80" i="5" s="1"/>
  <c r="DN68" i="3"/>
  <c r="DN67" i="3"/>
  <c r="DN66" i="3"/>
  <c r="DN65" i="3"/>
  <c r="DN50" i="3"/>
  <c r="DN49" i="3"/>
  <c r="DN48" i="3"/>
  <c r="DN47" i="3"/>
  <c r="DN46" i="3"/>
  <c r="DN44" i="3"/>
  <c r="DN43" i="3"/>
  <c r="DN42" i="3"/>
  <c r="DN41" i="3"/>
  <c r="DN40" i="3"/>
  <c r="DN38" i="3"/>
  <c r="DN37" i="3"/>
  <c r="DN36" i="3"/>
  <c r="DN35" i="3"/>
  <c r="DN34" i="3"/>
  <c r="DN29" i="3"/>
  <c r="DN28" i="3"/>
  <c r="DN30" i="3"/>
  <c r="DN31" i="3"/>
  <c r="DN32" i="3"/>
  <c r="DN22" i="3"/>
  <c r="DN23" i="3"/>
  <c r="DN24" i="3"/>
  <c r="DN25" i="3"/>
  <c r="DN26" i="3"/>
  <c r="AG54" i="2" a="1"/>
  <c r="AG54" i="2" s="1"/>
  <c r="AG55" i="2" a="1"/>
  <c r="AG55" i="2" s="1"/>
  <c r="AG56" i="2" a="1"/>
  <c r="AG56" i="2" s="1"/>
  <c r="AG57" i="2" a="1"/>
  <c r="AG57" i="2" s="1"/>
  <c r="AG58" i="2" a="1"/>
  <c r="AG58" i="2" s="1"/>
  <c r="AG125" i="2" a="1"/>
  <c r="AG125" i="2" s="1"/>
  <c r="AG126" i="2" a="1"/>
  <c r="AG126" i="2" s="1"/>
  <c r="AG127" i="2" a="1"/>
  <c r="AG127" i="2" s="1"/>
  <c r="AG128" i="2" a="1"/>
  <c r="AG128" i="2" s="1"/>
  <c r="AG129" i="2" a="1"/>
  <c r="AG129" i="2" s="1"/>
  <c r="AG130" i="2" a="1"/>
  <c r="AG130" i="2" s="1"/>
  <c r="AG26" i="2" a="1"/>
  <c r="AG26" i="2" s="1"/>
  <c r="AG27" i="2" a="1"/>
  <c r="AG27" i="2" s="1"/>
  <c r="AG28" i="2" a="1"/>
  <c r="AG28" i="2" s="1"/>
  <c r="AG29" i="2" a="1"/>
  <c r="AG29" i="2" s="1"/>
  <c r="AG30" i="2" a="1"/>
  <c r="AG30" i="2" s="1"/>
  <c r="F27" i="1"/>
  <c r="F28" i="1"/>
  <c r="F29" i="1"/>
  <c r="F30" i="1"/>
  <c r="F26" i="1"/>
  <c r="P4" i="1"/>
  <c r="AK23" i="2" l="1"/>
  <c r="G5" i="7"/>
  <c r="AK19" i="2"/>
  <c r="G11" i="7"/>
  <c r="AF87" i="2"/>
  <c r="AK51" i="2"/>
  <c r="G9" i="7"/>
  <c r="AK49" i="2"/>
  <c r="G7" i="7"/>
  <c r="AK50" i="2"/>
  <c r="G8" i="7"/>
  <c r="AK48" i="2"/>
  <c r="G6" i="7"/>
  <c r="AK46" i="2"/>
  <c r="G4" i="7"/>
  <c r="C6" i="7"/>
  <c r="C7" i="7"/>
  <c r="C10" i="7"/>
  <c r="C4" i="7"/>
  <c r="C11" i="7"/>
  <c r="C8" i="7"/>
  <c r="AK20" i="2"/>
  <c r="AK21" i="2"/>
  <c r="AK24" i="2"/>
  <c r="AK25" i="2"/>
  <c r="AK22" i="2"/>
  <c r="AK18" i="2"/>
  <c r="AF135" i="2"/>
  <c r="AF160" i="2"/>
  <c r="Z4" i="2"/>
  <c r="AA4" i="2"/>
  <c r="Y4" i="2"/>
  <c r="F19" i="1"/>
  <c r="I19" i="1" s="1"/>
  <c r="AF168" i="2"/>
  <c r="U4" i="2"/>
  <c r="X4" i="2"/>
  <c r="S77" i="5"/>
  <c r="P74" i="5"/>
  <c r="R64" i="5" s="1"/>
  <c r="AF95" i="2"/>
  <c r="AF137" i="2"/>
  <c r="F16" i="1"/>
  <c r="AF140" i="2"/>
  <c r="T4" i="2"/>
  <c r="S4" i="2"/>
  <c r="AB3" i="2"/>
  <c r="AB4" i="2"/>
  <c r="AC4" i="2"/>
  <c r="K4" i="2"/>
  <c r="R4" i="2"/>
  <c r="AD3" i="2"/>
  <c r="AC3" i="2"/>
  <c r="AA3" i="2"/>
  <c r="Z3" i="2"/>
  <c r="Y3" i="2"/>
  <c r="AD4" i="2"/>
  <c r="L4" i="2"/>
  <c r="V3" i="2"/>
  <c r="M4" i="2"/>
  <c r="W3" i="2"/>
  <c r="U3" i="2"/>
  <c r="N4" i="2"/>
  <c r="T3" i="2"/>
  <c r="O4" i="2"/>
  <c r="P4" i="2"/>
  <c r="Q4" i="2"/>
  <c r="P3" i="2"/>
  <c r="S3" i="2"/>
  <c r="Q3" i="2"/>
  <c r="O3" i="2"/>
  <c r="X3" i="2"/>
  <c r="R3" i="2"/>
  <c r="V4" i="2"/>
  <c r="L3" i="2"/>
  <c r="W4" i="2"/>
  <c r="X6" i="1"/>
  <c r="X19" i="1"/>
  <c r="X13" i="1"/>
  <c r="X32" i="1"/>
  <c r="X12" i="1"/>
  <c r="X26" i="1"/>
  <c r="X25" i="1"/>
  <c r="X5" i="1"/>
  <c r="X18" i="1"/>
  <c r="X11" i="1"/>
  <c r="X31" i="1"/>
  <c r="X24" i="1"/>
  <c r="X17" i="1"/>
  <c r="X37" i="1"/>
  <c r="X30" i="1"/>
  <c r="X10" i="1"/>
  <c r="X23" i="1"/>
  <c r="X29" i="1"/>
  <c r="X9" i="1"/>
  <c r="X16" i="1"/>
  <c r="X22" i="1"/>
  <c r="X15" i="1"/>
  <c r="X28" i="1"/>
  <c r="X8" i="1"/>
  <c r="X20" i="1"/>
  <c r="X35" i="1"/>
  <c r="X21" i="1"/>
  <c r="X33" i="1"/>
  <c r="X34" i="1"/>
  <c r="X14" i="1"/>
  <c r="X36" i="1"/>
  <c r="X27" i="1"/>
  <c r="X7" i="1"/>
  <c r="AL55" i="2"/>
  <c r="AK55" i="2" s="1"/>
  <c r="X4" i="1"/>
  <c r="AF177" i="2"/>
  <c r="AF199" i="2"/>
  <c r="J67" i="7"/>
  <c r="J45" i="7"/>
  <c r="AF186" i="2"/>
  <c r="J53" i="7"/>
  <c r="J43" i="7"/>
  <c r="AF205" i="2"/>
  <c r="J74" i="7"/>
  <c r="AF185" i="2"/>
  <c r="J52" i="7"/>
  <c r="AF198" i="2"/>
  <c r="J66" i="7"/>
  <c r="J44" i="7"/>
  <c r="AF191" i="2"/>
  <c r="J58" i="7"/>
  <c r="AF204" i="2"/>
  <c r="J73" i="7"/>
  <c r="AF184" i="2"/>
  <c r="J51" i="7"/>
  <c r="AF192" i="2"/>
  <c r="J59" i="7"/>
  <c r="AF197" i="2"/>
  <c r="J65" i="7"/>
  <c r="AF210" i="2"/>
  <c r="J79" i="7"/>
  <c r="AF190" i="2"/>
  <c r="J57" i="7"/>
  <c r="AF203" i="2"/>
  <c r="J72" i="7"/>
  <c r="AF183" i="2"/>
  <c r="J50" i="7"/>
  <c r="AF196" i="2"/>
  <c r="J64" i="7"/>
  <c r="AF209" i="2"/>
  <c r="J78" i="7"/>
  <c r="AF189" i="2"/>
  <c r="J56" i="7"/>
  <c r="AF202" i="2"/>
  <c r="J70" i="7"/>
  <c r="J48" i="7"/>
  <c r="AF206" i="2"/>
  <c r="J75" i="7"/>
  <c r="AF195" i="2"/>
  <c r="J63" i="7"/>
  <c r="AF208" i="2"/>
  <c r="J77" i="7"/>
  <c r="AF188" i="2"/>
  <c r="J55" i="7"/>
  <c r="AF201" i="2"/>
  <c r="J69" i="7"/>
  <c r="J47" i="7"/>
  <c r="AF194" i="2"/>
  <c r="J62" i="7"/>
  <c r="AF207" i="2"/>
  <c r="J76" i="7"/>
  <c r="AF187" i="2"/>
  <c r="J54" i="7"/>
  <c r="AF200" i="2"/>
  <c r="J68" i="7"/>
  <c r="J46" i="7"/>
  <c r="AF193" i="2"/>
  <c r="J61" i="7"/>
  <c r="AL54" i="2"/>
  <c r="AL129" i="2"/>
  <c r="AL127" i="2"/>
  <c r="AL125" i="2"/>
  <c r="AL58" i="2"/>
  <c r="AL56" i="2"/>
  <c r="AF45" i="2"/>
  <c r="B36" i="7"/>
  <c r="AL57" i="2"/>
  <c r="AF28" i="2"/>
  <c r="AL28" i="2" s="1"/>
  <c r="B25" i="7"/>
  <c r="AF44" i="2"/>
  <c r="B35" i="7"/>
  <c r="AF33" i="2"/>
  <c r="B31" i="7"/>
  <c r="AF27" i="2"/>
  <c r="AL27" i="2" s="1"/>
  <c r="B24" i="7"/>
  <c r="AF34" i="2"/>
  <c r="B32" i="7"/>
  <c r="AF31" i="2"/>
  <c r="B29" i="7"/>
  <c r="AF30" i="2"/>
  <c r="AL30" i="2" s="1"/>
  <c r="B27" i="7"/>
  <c r="AF29" i="2"/>
  <c r="AL29" i="2" s="1"/>
  <c r="B26" i="7"/>
  <c r="AF32" i="2"/>
  <c r="B30" i="7"/>
  <c r="AF15" i="2"/>
  <c r="B18" i="7"/>
  <c r="AH13" i="2"/>
  <c r="B16" i="7"/>
  <c r="E62" i="6"/>
  <c r="B20" i="7"/>
  <c r="AL128" i="2"/>
  <c r="AF11" i="2"/>
  <c r="B14" i="7"/>
  <c r="AF17" i="2"/>
  <c r="B21" i="7"/>
  <c r="AL126" i="2"/>
  <c r="AF26" i="2"/>
  <c r="AL26" i="2" s="1"/>
  <c r="B23" i="7"/>
  <c r="AH130" i="2"/>
  <c r="AL130" i="2" s="1"/>
  <c r="P79" i="5"/>
  <c r="I24" i="1"/>
  <c r="B11" i="6"/>
  <c r="F10" i="6"/>
  <c r="E30" i="6"/>
  <c r="AF69" i="2"/>
  <c r="E24" i="6"/>
  <c r="AF68" i="2"/>
  <c r="E23" i="6"/>
  <c r="AF66" i="2"/>
  <c r="E21" i="6"/>
  <c r="AF59" i="2"/>
  <c r="E14" i="6"/>
  <c r="AF65" i="2"/>
  <c r="E20" i="6"/>
  <c r="AF70" i="2"/>
  <c r="E25" i="6"/>
  <c r="AF64" i="2"/>
  <c r="E19" i="6"/>
  <c r="AF63" i="2"/>
  <c r="E18" i="6"/>
  <c r="AF62" i="2"/>
  <c r="E17" i="6"/>
  <c r="AF60" i="2"/>
  <c r="E15" i="6"/>
  <c r="AF61" i="2"/>
  <c r="E16" i="6"/>
  <c r="AF74" i="2"/>
  <c r="E29" i="6"/>
  <c r="AF73" i="2"/>
  <c r="E28" i="6"/>
  <c r="AF72" i="2"/>
  <c r="E27" i="6"/>
  <c r="AF71" i="2"/>
  <c r="E26" i="6"/>
  <c r="AP56" i="2"/>
  <c r="K3" i="2" s="1"/>
  <c r="AF43" i="2"/>
  <c r="AS56" i="2"/>
  <c r="N3" i="2" s="1"/>
  <c r="AR56" i="2"/>
  <c r="M3" i="2" s="1"/>
  <c r="AF179" i="2"/>
  <c r="AF178" i="2"/>
  <c r="AF182" i="2"/>
  <c r="AF181" i="2"/>
  <c r="AF180" i="2"/>
  <c r="E63" i="6"/>
  <c r="E76" i="6"/>
  <c r="E75" i="6"/>
  <c r="E74" i="6"/>
  <c r="E73" i="6"/>
  <c r="E72" i="6"/>
  <c r="E70" i="6"/>
  <c r="E69" i="6"/>
  <c r="E68" i="6"/>
  <c r="E67" i="6"/>
  <c r="E66" i="6"/>
  <c r="E65" i="6"/>
  <c r="E64" i="6"/>
  <c r="E71" i="6"/>
  <c r="L36" i="1"/>
  <c r="N36" i="1"/>
  <c r="AJ16" i="2" s="1"/>
  <c r="P36" i="1"/>
  <c r="V79" i="6" s="1"/>
  <c r="AF13" i="2"/>
  <c r="AF97" i="2"/>
  <c r="AF86" i="2"/>
  <c r="AF161" i="2"/>
  <c r="AF156" i="2"/>
  <c r="AF176" i="2"/>
  <c r="AF110" i="2"/>
  <c r="AF132" i="2"/>
  <c r="AF67" i="2"/>
  <c r="AF79" i="2"/>
  <c r="AF131" i="2"/>
  <c r="AF90" i="2"/>
  <c r="AF96" i="2"/>
  <c r="AF139" i="2"/>
  <c r="AF75" i="2"/>
  <c r="I18" i="1"/>
  <c r="ES6" i="3" s="1"/>
  <c r="I17" i="1"/>
  <c r="I21" i="1"/>
  <c r="I22" i="1"/>
  <c r="I20" i="1"/>
  <c r="I15" i="1"/>
  <c r="I14" i="1"/>
  <c r="J56" i="6" s="1"/>
  <c r="I13" i="1"/>
  <c r="AG143" i="2" a="1"/>
  <c r="AG155" i="2" a="1"/>
  <c r="AG67" i="2" a="1"/>
  <c r="AG142" i="2" a="1"/>
  <c r="AG76" i="2" a="1"/>
  <c r="AG145" i="2" a="1"/>
  <c r="AG114" i="2" a="1"/>
  <c r="AG110" i="2" a="1"/>
  <c r="AG94" i="2" a="1"/>
  <c r="AG106" i="2" a="1"/>
  <c r="AG95" i="2" a="1"/>
  <c r="AG117" i="2" a="1"/>
  <c r="AG96" i="2" a="1"/>
  <c r="AG109" i="2" a="1"/>
  <c r="AG105" i="2" a="1"/>
  <c r="AG103" i="2" a="1"/>
  <c r="AG123" i="2" a="1"/>
  <c r="AG84" i="2" a="1"/>
  <c r="AG11" i="2" a="1"/>
  <c r="AG83" i="2" a="1"/>
  <c r="AG32" i="2" a="1"/>
  <c r="AG98" i="2" a="1"/>
  <c r="AG12" i="2" a="1"/>
  <c r="AG113" i="2" a="1"/>
  <c r="AG121" i="2" a="1"/>
  <c r="AG10" i="2" a="1"/>
  <c r="AG112" i="2" a="1"/>
  <c r="AG61" i="2" a="1"/>
  <c r="AG33" i="2" a="1"/>
  <c r="AG69" i="2" a="1"/>
  <c r="AG175" i="2" a="1"/>
  <c r="AG82" i="2" a="1"/>
  <c r="AG138" i="2" a="1"/>
  <c r="AG99" i="2" a="1"/>
  <c r="AG70" i="2" a="1"/>
  <c r="AG44" i="2" a="1"/>
  <c r="AG120" i="2" a="1"/>
  <c r="AG111" i="2" a="1"/>
  <c r="AG154" i="2" a="1"/>
  <c r="AG144" i="2" a="1"/>
  <c r="AG104" i="2" a="1"/>
  <c r="AG119" i="2" a="1"/>
  <c r="AG63" i="2" a="1"/>
  <c r="AG135" i="2" a="1"/>
  <c r="AG102" i="2" a="1"/>
  <c r="AG66" i="2" a="1"/>
  <c r="AG139" i="2" a="1"/>
  <c r="AG64" i="2" a="1"/>
  <c r="AG34" i="2" a="1"/>
  <c r="AG137" i="2" a="1"/>
  <c r="AG115" i="2" a="1"/>
  <c r="AG97" i="2" a="1"/>
  <c r="AG13" i="2" a="1"/>
  <c r="AG43" i="2" a="1"/>
  <c r="AG74" i="2" a="1"/>
  <c r="AG68" i="2" a="1"/>
  <c r="AG45" i="2" a="1"/>
  <c r="AG107" i="2" a="1"/>
  <c r="AG65" i="2" a="1"/>
  <c r="AG60" i="2" a="1"/>
  <c r="AG136" i="2" a="1"/>
  <c r="AG73" i="2" a="1"/>
  <c r="AG152" i="2" a="1"/>
  <c r="AG108" i="2" a="1"/>
  <c r="AG118" i="2" a="1"/>
  <c r="AG101" i="2" a="1"/>
  <c r="AG141" i="2" a="1"/>
  <c r="AG134" i="2" a="1"/>
  <c r="AG75" i="2" a="1"/>
  <c r="AG124" i="2" a="1"/>
  <c r="AG14" i="2" a="1"/>
  <c r="AG176" i="2" a="1"/>
  <c r="AG15" i="2" a="1"/>
  <c r="AG62" i="2" a="1"/>
  <c r="AG72" i="2" a="1"/>
  <c r="AG140" i="2" a="1"/>
  <c r="AG86" i="2" a="1"/>
  <c r="AG31" i="2" a="1"/>
  <c r="AG153" i="2" a="1"/>
  <c r="AG116" i="2" a="1"/>
  <c r="AG71" i="2" a="1"/>
  <c r="AG59" i="2" a="1"/>
  <c r="AG85" i="2" a="1"/>
  <c r="AG100" i="2" a="1"/>
  <c r="AG93" i="2" a="1"/>
  <c r="AG122" i="2" a="1"/>
  <c r="AG174" i="2" a="1"/>
  <c r="AG80" i="2" a="1"/>
  <c r="E24" i="1" l="1"/>
  <c r="K6" i="2"/>
  <c r="L2" i="2" s="1"/>
  <c r="L6" i="2" s="1"/>
  <c r="M2" i="2" s="1"/>
  <c r="I16" i="1"/>
  <c r="ES8" i="3" s="1"/>
  <c r="AG10" i="2"/>
  <c r="C39" i="7"/>
  <c r="AK128" i="2"/>
  <c r="AK130" i="2"/>
  <c r="AK56" i="2"/>
  <c r="AK58" i="2"/>
  <c r="AK125" i="2"/>
  <c r="AK30" i="2"/>
  <c r="AK129" i="2"/>
  <c r="AK27" i="2"/>
  <c r="AK28" i="2"/>
  <c r="AK29" i="2"/>
  <c r="AK26" i="2"/>
  <c r="AK126" i="2"/>
  <c r="AK54" i="2"/>
  <c r="AK57" i="2"/>
  <c r="AK127" i="2"/>
  <c r="G58" i="7"/>
  <c r="G53" i="7"/>
  <c r="G55" i="7"/>
  <c r="C41" i="7"/>
  <c r="C40" i="7"/>
  <c r="G57" i="7"/>
  <c r="G56" i="7"/>
  <c r="C42" i="7"/>
  <c r="C38" i="7"/>
  <c r="G54" i="7"/>
  <c r="C24" i="7"/>
  <c r="C26" i="7"/>
  <c r="C27" i="7"/>
  <c r="C25" i="7"/>
  <c r="C23" i="7"/>
  <c r="AG115" i="2"/>
  <c r="AL115" i="2" s="1"/>
  <c r="AG116" i="2"/>
  <c r="AL116" i="2" s="1"/>
  <c r="AG107" i="2"/>
  <c r="AL107" i="2" s="1"/>
  <c r="AG103" i="2"/>
  <c r="AL103" i="2" s="1"/>
  <c r="AG101" i="2"/>
  <c r="AL101" i="2" s="1"/>
  <c r="AG76" i="2"/>
  <c r="AL76" i="2" s="1"/>
  <c r="AG14" i="2"/>
  <c r="AG12" i="2"/>
  <c r="AG143" i="2"/>
  <c r="AL143" i="2" s="1"/>
  <c r="M98" i="5"/>
  <c r="L96" i="5"/>
  <c r="L98" i="5"/>
  <c r="L97" i="5"/>
  <c r="L95" i="5"/>
  <c r="N88" i="5"/>
  <c r="S88" i="5"/>
  <c r="H9" i="1" s="1"/>
  <c r="K8" i="6" s="1"/>
  <c r="B7" i="6"/>
  <c r="V81" i="6"/>
  <c r="S42" i="6"/>
  <c r="T42" i="6" s="1"/>
  <c r="S43" i="6"/>
  <c r="T43" i="6" s="1"/>
  <c r="F63" i="6"/>
  <c r="F75" i="6"/>
  <c r="F76" i="6"/>
  <c r="F73" i="6"/>
  <c r="F72" i="6"/>
  <c r="F64" i="6"/>
  <c r="F65" i="6"/>
  <c r="F74" i="6"/>
  <c r="A38" i="6"/>
  <c r="S22" i="6"/>
  <c r="T22" i="6" s="1"/>
  <c r="S77" i="6"/>
  <c r="T77" i="6" s="1"/>
  <c r="S58" i="6"/>
  <c r="T58" i="6" s="1"/>
  <c r="S33" i="6"/>
  <c r="T33" i="6" s="1"/>
  <c r="S48" i="6"/>
  <c r="T48" i="6" s="1"/>
  <c r="S38" i="6"/>
  <c r="T38" i="6" s="1"/>
  <c r="S71" i="6"/>
  <c r="T71" i="6" s="1"/>
  <c r="S39" i="6"/>
  <c r="T39" i="6" s="1"/>
  <c r="S20" i="6"/>
  <c r="T20" i="6" s="1"/>
  <c r="S53" i="6"/>
  <c r="T53" i="6" s="1"/>
  <c r="S63" i="6"/>
  <c r="T63" i="6" s="1"/>
  <c r="S73" i="6"/>
  <c r="T73" i="6" s="1"/>
  <c r="S23" i="6"/>
  <c r="T23" i="6" s="1"/>
  <c r="S67" i="6"/>
  <c r="T67" i="6" s="1"/>
  <c r="S31" i="6"/>
  <c r="T31" i="6" s="1"/>
  <c r="S68" i="6"/>
  <c r="T68" i="6" s="1"/>
  <c r="S34" i="6"/>
  <c r="T34" i="6" s="1"/>
  <c r="S69" i="6"/>
  <c r="T69" i="6" s="1"/>
  <c r="S36" i="6"/>
  <c r="T36" i="6" s="1"/>
  <c r="S60" i="6"/>
  <c r="T60" i="6" s="1"/>
  <c r="S24" i="6"/>
  <c r="T24" i="6" s="1"/>
  <c r="S44" i="6"/>
  <c r="T44" i="6" s="1"/>
  <c r="S29" i="6"/>
  <c r="T29" i="6" s="1"/>
  <c r="S32" i="6"/>
  <c r="T32" i="6" s="1"/>
  <c r="S59" i="6"/>
  <c r="T59" i="6" s="1"/>
  <c r="S15" i="6"/>
  <c r="T15" i="6" s="1"/>
  <c r="S54" i="6"/>
  <c r="T54" i="6" s="1"/>
  <c r="S64" i="6"/>
  <c r="T64" i="6" s="1"/>
  <c r="S74" i="6"/>
  <c r="T74" i="6" s="1"/>
  <c r="S5" i="6"/>
  <c r="T5" i="6" s="1"/>
  <c r="S25" i="6"/>
  <c r="T25" i="6" s="1"/>
  <c r="S45" i="6"/>
  <c r="T45" i="6" s="1"/>
  <c r="S76" i="6"/>
  <c r="T76" i="6" s="1"/>
  <c r="S11" i="6"/>
  <c r="T11" i="6" s="1"/>
  <c r="S13" i="6"/>
  <c r="T13" i="6" s="1"/>
  <c r="S16" i="6"/>
  <c r="T16" i="6" s="1"/>
  <c r="S70" i="6"/>
  <c r="T70" i="6" s="1"/>
  <c r="S17" i="6"/>
  <c r="T17" i="6" s="1"/>
  <c r="S6" i="6"/>
  <c r="T6" i="6" s="1"/>
  <c r="S26" i="6"/>
  <c r="T26" i="6" s="1"/>
  <c r="S46" i="6"/>
  <c r="T46" i="6" s="1"/>
  <c r="S19" i="6"/>
  <c r="T19" i="6" s="1"/>
  <c r="S52" i="6"/>
  <c r="T52" i="6" s="1"/>
  <c r="S55" i="6"/>
  <c r="T55" i="6" s="1"/>
  <c r="S65" i="6"/>
  <c r="T65" i="6" s="1"/>
  <c r="S75" i="6"/>
  <c r="T75" i="6" s="1"/>
  <c r="S7" i="6"/>
  <c r="T7" i="6" s="1"/>
  <c r="S27" i="6"/>
  <c r="T27" i="6" s="1"/>
  <c r="S47" i="6"/>
  <c r="T47" i="6" s="1"/>
  <c r="S9" i="6"/>
  <c r="T9" i="6" s="1"/>
  <c r="S12" i="6"/>
  <c r="T12" i="6" s="1"/>
  <c r="S18" i="6"/>
  <c r="T18" i="6" s="1"/>
  <c r="S51" i="6"/>
  <c r="T51" i="6" s="1"/>
  <c r="S40" i="6"/>
  <c r="T40" i="6" s="1"/>
  <c r="S3" i="6"/>
  <c r="T3" i="6" s="1"/>
  <c r="S8" i="6"/>
  <c r="T8" i="6" s="1"/>
  <c r="S28" i="6"/>
  <c r="T28" i="6" s="1"/>
  <c r="S4" i="6"/>
  <c r="T4" i="6" s="1"/>
  <c r="S30" i="6"/>
  <c r="T30" i="6" s="1"/>
  <c r="S57" i="6"/>
  <c r="T57" i="6" s="1"/>
  <c r="S72" i="6"/>
  <c r="T72" i="6" s="1"/>
  <c r="S56" i="6"/>
  <c r="T56" i="6" s="1"/>
  <c r="S66" i="6"/>
  <c r="T66" i="6" s="1"/>
  <c r="S10" i="6"/>
  <c r="T10" i="6" s="1"/>
  <c r="S61" i="6"/>
  <c r="T61" i="6" s="1"/>
  <c r="S62" i="6"/>
  <c r="T62" i="6" s="1"/>
  <c r="S41" i="6"/>
  <c r="T41" i="6" s="1"/>
  <c r="S78" i="6"/>
  <c r="T78" i="6" s="1"/>
  <c r="S14" i="6"/>
  <c r="T14" i="6" s="1"/>
  <c r="S49" i="6"/>
  <c r="T49" i="6" s="1"/>
  <c r="S35" i="6"/>
  <c r="T35" i="6" s="1"/>
  <c r="S50" i="6"/>
  <c r="T50" i="6" s="1"/>
  <c r="S37" i="6"/>
  <c r="T37" i="6" s="1"/>
  <c r="S21" i="6"/>
  <c r="T21" i="6" s="1"/>
  <c r="ES9" i="3"/>
  <c r="ES7" i="3"/>
  <c r="ES5" i="3"/>
  <c r="AJ149" i="2"/>
  <c r="AJ148" i="2"/>
  <c r="J36" i="1"/>
  <c r="A42" i="6" s="1"/>
  <c r="E28" i="1"/>
  <c r="I28" i="1" s="1"/>
  <c r="C34" i="6" s="1"/>
  <c r="AJ71" i="2"/>
  <c r="AJ147" i="2"/>
  <c r="AJ72" i="2"/>
  <c r="AJ73" i="2"/>
  <c r="AJ74" i="2"/>
  <c r="AJ70" i="2"/>
  <c r="AG71" i="2"/>
  <c r="AG72" i="2"/>
  <c r="AG60" i="2"/>
  <c r="AL60" i="2" s="1"/>
  <c r="AG62" i="2"/>
  <c r="AL62" i="2" s="1"/>
  <c r="AG64" i="2"/>
  <c r="AL64" i="2" s="1"/>
  <c r="AG63" i="2"/>
  <c r="AL63" i="2" s="1"/>
  <c r="AG61" i="2"/>
  <c r="AL61" i="2" s="1"/>
  <c r="AG73" i="2"/>
  <c r="AG68" i="2"/>
  <c r="AL68" i="2" s="1"/>
  <c r="AG135" i="2"/>
  <c r="AL135" i="2" s="1"/>
  <c r="AG136" i="2"/>
  <c r="AL136" i="2" s="1"/>
  <c r="AG134" i="2"/>
  <c r="AL134" i="2" s="1"/>
  <c r="E30" i="1"/>
  <c r="I30" i="1" s="1"/>
  <c r="C36" i="6" s="1"/>
  <c r="AG100" i="2"/>
  <c r="AL100" i="2" s="1"/>
  <c r="AG113" i="2"/>
  <c r="AL113" i="2" s="1"/>
  <c r="AG110" i="2"/>
  <c r="AL110" i="2" s="1"/>
  <c r="AG154" i="2"/>
  <c r="AL154" i="2" s="1"/>
  <c r="AG123" i="2"/>
  <c r="AL123" i="2" s="1"/>
  <c r="AG155" i="2"/>
  <c r="AL155" i="2" s="1"/>
  <c r="AG124" i="2"/>
  <c r="AL124" i="2" s="1"/>
  <c r="AG152" i="2"/>
  <c r="AL152" i="2" s="1"/>
  <c r="AG121" i="2"/>
  <c r="AL121" i="2" s="1"/>
  <c r="AG102" i="2"/>
  <c r="AL102" i="2" s="1"/>
  <c r="AG114" i="2"/>
  <c r="AL114" i="2" s="1"/>
  <c r="AG119" i="2"/>
  <c r="AL119" i="2" s="1"/>
  <c r="AG120" i="2"/>
  <c r="AL120" i="2" s="1"/>
  <c r="AG122" i="2"/>
  <c r="AL122" i="2" s="1"/>
  <c r="AG98" i="2"/>
  <c r="AL98" i="2" s="1"/>
  <c r="AG105" i="2"/>
  <c r="AL105" i="2" s="1"/>
  <c r="AG118" i="2"/>
  <c r="AL118" i="2" s="1"/>
  <c r="AG96" i="2"/>
  <c r="AL96" i="2" s="1"/>
  <c r="AG104" i="2"/>
  <c r="AL104" i="2" s="1"/>
  <c r="AG117" i="2"/>
  <c r="AL117" i="2" s="1"/>
  <c r="AG106" i="2"/>
  <c r="AL106" i="2" s="1"/>
  <c r="AG153" i="2"/>
  <c r="AL153" i="2" s="1"/>
  <c r="AG99" i="2"/>
  <c r="AL99" i="2" s="1"/>
  <c r="AG97" i="2"/>
  <c r="AL97" i="2" s="1"/>
  <c r="AG111" i="2"/>
  <c r="AL111" i="2" s="1"/>
  <c r="AG108" i="2"/>
  <c r="AL108" i="2" s="1"/>
  <c r="AG109" i="2"/>
  <c r="AL109" i="2" s="1"/>
  <c r="AG112" i="2"/>
  <c r="AL112" i="2" s="1"/>
  <c r="E26" i="1"/>
  <c r="I26" i="1" s="1"/>
  <c r="C32" i="6" s="1"/>
  <c r="AG43" i="2"/>
  <c r="AL43" i="2" s="1"/>
  <c r="AG44" i="2"/>
  <c r="AG45" i="2"/>
  <c r="AG34" i="2"/>
  <c r="AG32" i="2"/>
  <c r="AG174" i="2"/>
  <c r="AL174" i="2" s="1"/>
  <c r="AG176" i="2"/>
  <c r="AL176" i="2" s="1"/>
  <c r="AG175" i="2"/>
  <c r="AL175" i="2" s="1"/>
  <c r="AG142" i="2"/>
  <c r="AL142" i="2" s="1"/>
  <c r="AG144" i="2"/>
  <c r="AL144" i="2" s="1"/>
  <c r="AG141" i="2"/>
  <c r="AL141" i="2" s="1"/>
  <c r="E29" i="1"/>
  <c r="I29" i="1" s="1"/>
  <c r="C35" i="6" s="1"/>
  <c r="E27" i="1"/>
  <c r="I27" i="1" s="1"/>
  <c r="C33" i="6" s="1"/>
  <c r="AG33" i="2"/>
  <c r="AG66" i="2"/>
  <c r="AL66" i="2" s="1"/>
  <c r="AG95" i="2"/>
  <c r="AL95" i="2" s="1"/>
  <c r="AG140" i="2"/>
  <c r="AL140" i="2" s="1"/>
  <c r="AG84" i="2"/>
  <c r="AL84" i="2" s="1"/>
  <c r="AG138" i="2"/>
  <c r="AL138" i="2" s="1"/>
  <c r="AG85" i="2"/>
  <c r="AL85" i="2" s="1"/>
  <c r="AG86" i="2"/>
  <c r="AL86" i="2" s="1"/>
  <c r="AG65" i="2"/>
  <c r="AL65" i="2" s="1"/>
  <c r="AG67" i="2"/>
  <c r="AL67" i="2" s="1"/>
  <c r="AG82" i="2"/>
  <c r="AL82" i="2" s="1"/>
  <c r="AG70" i="2"/>
  <c r="AG137" i="2"/>
  <c r="AL137" i="2" s="1"/>
  <c r="AG74" i="2"/>
  <c r="AG145" i="2"/>
  <c r="AL145" i="2" s="1"/>
  <c r="AG69" i="2"/>
  <c r="AL69" i="2" s="1"/>
  <c r="AG83" i="2"/>
  <c r="AL83" i="2" s="1"/>
  <c r="AG93" i="2"/>
  <c r="AL93" i="2" s="1"/>
  <c r="AG139" i="2"/>
  <c r="AL139" i="2" s="1"/>
  <c r="AG75" i="2"/>
  <c r="AL75" i="2" s="1"/>
  <c r="AG94" i="2"/>
  <c r="AL94" i="2" s="1"/>
  <c r="AG59" i="2"/>
  <c r="AL59" i="2" s="1"/>
  <c r="AG80" i="2"/>
  <c r="AL80" i="2" s="1"/>
  <c r="AG11" i="2"/>
  <c r="AG31" i="2"/>
  <c r="AG13" i="2"/>
  <c r="AG15" i="2"/>
  <c r="AG158" i="2" a="1"/>
  <c r="AG131" i="2" a="1"/>
  <c r="AG162" i="2" a="1"/>
  <c r="AG157" i="2" a="1"/>
  <c r="AG90" i="2" a="1"/>
  <c r="AG172" i="2" a="1"/>
  <c r="AG156" i="2" a="1"/>
  <c r="AG169" i="2" a="1"/>
  <c r="AG170" i="2" a="1"/>
  <c r="AG171" i="2" a="1"/>
  <c r="AG133" i="2" a="1"/>
  <c r="AG167" i="2" a="1"/>
  <c r="AG17" i="2" a="1"/>
  <c r="AG91" i="2" a="1"/>
  <c r="AG161" i="2" a="1"/>
  <c r="AG165" i="2" a="1"/>
  <c r="AG132" i="2" a="1"/>
  <c r="AG163" i="2" a="1"/>
  <c r="AG160" i="2" a="1"/>
  <c r="AG77" i="2" a="1"/>
  <c r="AG79" i="2" a="1"/>
  <c r="AG92" i="2" a="1"/>
  <c r="AG173" i="2" a="1"/>
  <c r="AG81" i="2" a="1"/>
  <c r="AG87" i="2" a="1"/>
  <c r="AG159" i="2" a="1"/>
  <c r="AG164" i="2" a="1"/>
  <c r="AG78" i="2" a="1"/>
  <c r="AG168" i="2" a="1"/>
  <c r="AG88" i="2" a="1"/>
  <c r="AG16" i="2" a="1"/>
  <c r="AG89" i="2" a="1"/>
  <c r="AG166" i="2" a="1"/>
  <c r="ES4" i="3" l="1"/>
  <c r="I23" i="1" s="1"/>
  <c r="Z31" i="1" s="1"/>
  <c r="AG78" i="2"/>
  <c r="AL78" i="2" s="1"/>
  <c r="C67" i="7" s="1"/>
  <c r="AG164" i="2"/>
  <c r="AL164" i="2" s="1"/>
  <c r="K27" i="7" s="1"/>
  <c r="AG163" i="2"/>
  <c r="AL163" i="2" s="1"/>
  <c r="K26" i="7" s="1"/>
  <c r="AG166" i="2"/>
  <c r="AL166" i="2" s="1"/>
  <c r="K29" i="7" s="1"/>
  <c r="AG159" i="2"/>
  <c r="AL159" i="2" s="1"/>
  <c r="AK159" i="2" s="1"/>
  <c r="AG17" i="2"/>
  <c r="AL17" i="2" s="1"/>
  <c r="AG89" i="2"/>
  <c r="AL89" i="2" s="1"/>
  <c r="AK89" i="2" s="1"/>
  <c r="AG88" i="2"/>
  <c r="AL88" i="2" s="1"/>
  <c r="C79" i="7" s="1"/>
  <c r="AG91" i="2"/>
  <c r="AL91" i="2" s="1"/>
  <c r="G15" i="7" s="1"/>
  <c r="AG168" i="2"/>
  <c r="AL168" i="2" s="1"/>
  <c r="K31" i="7" s="1"/>
  <c r="AG171" i="2"/>
  <c r="AL171" i="2" s="1"/>
  <c r="AK171" i="2" s="1"/>
  <c r="AG81" i="2"/>
  <c r="AL81" i="2" s="1"/>
  <c r="AK81" i="2" s="1"/>
  <c r="AG172" i="2"/>
  <c r="AL172" i="2" s="1"/>
  <c r="AK172" i="2" s="1"/>
  <c r="AG77" i="2"/>
  <c r="AL77" i="2" s="1"/>
  <c r="AK77" i="2" s="1"/>
  <c r="AG160" i="2"/>
  <c r="AL160" i="2" s="1"/>
  <c r="K22" i="7" s="1"/>
  <c r="AG162" i="2"/>
  <c r="AL162" i="2" s="1"/>
  <c r="AK162" i="2" s="1"/>
  <c r="AG169" i="2"/>
  <c r="AL169" i="2" s="1"/>
  <c r="AK169" i="2" s="1"/>
  <c r="AG131" i="2"/>
  <c r="AL131" i="2" s="1"/>
  <c r="G60" i="7" s="1"/>
  <c r="AG173" i="2"/>
  <c r="AL173" i="2" s="1"/>
  <c r="K37" i="7" s="1"/>
  <c r="AG16" i="2"/>
  <c r="AL16" i="2" s="1"/>
  <c r="AK16" i="2" s="1"/>
  <c r="AG92" i="2"/>
  <c r="AL92" i="2" s="1"/>
  <c r="AK92" i="2" s="1"/>
  <c r="AG79" i="2"/>
  <c r="AL79" i="2" s="1"/>
  <c r="C68" i="7" s="1"/>
  <c r="AG161" i="2"/>
  <c r="AL161" i="2" s="1"/>
  <c r="K23" i="7" s="1"/>
  <c r="AG90" i="2"/>
  <c r="AL90" i="2" s="1"/>
  <c r="G14" i="7" s="1"/>
  <c r="AG132" i="2"/>
  <c r="AL132" i="2" s="1"/>
  <c r="J59" i="6" s="1"/>
  <c r="AG167" i="2"/>
  <c r="AL167" i="2" s="1"/>
  <c r="K30" i="7" s="1"/>
  <c r="AG165" i="2"/>
  <c r="AL165" i="2" s="1"/>
  <c r="AK165" i="2" s="1"/>
  <c r="AG170" i="2"/>
  <c r="AL170" i="2" s="1"/>
  <c r="K34" i="7" s="1"/>
  <c r="AG133" i="2"/>
  <c r="AL133" i="2" s="1"/>
  <c r="AK133" i="2" s="1"/>
  <c r="AG87" i="2"/>
  <c r="AL87" i="2" s="1"/>
  <c r="C78" i="7" s="1"/>
  <c r="AG156" i="2"/>
  <c r="AL156" i="2" s="1"/>
  <c r="AK156" i="2" s="1"/>
  <c r="AG157" i="2"/>
  <c r="AL157" i="2" s="1"/>
  <c r="AK157" i="2" s="1"/>
  <c r="AG158" i="2"/>
  <c r="AL158" i="2" s="1"/>
  <c r="AK158" i="2" s="1"/>
  <c r="G41" i="6"/>
  <c r="K32" i="6"/>
  <c r="H32" i="6"/>
  <c r="G37" i="6" s="1"/>
  <c r="M6" i="2"/>
  <c r="N2" i="2" s="1"/>
  <c r="Z4" i="1"/>
  <c r="Z6" i="1"/>
  <c r="Z22" i="1"/>
  <c r="Z36" i="1"/>
  <c r="Z28" i="1"/>
  <c r="Z19" i="1"/>
  <c r="Z24" i="1"/>
  <c r="Z15" i="1"/>
  <c r="Z27" i="1"/>
  <c r="Z13" i="1"/>
  <c r="Z17" i="1"/>
  <c r="Z7" i="1"/>
  <c r="Z32" i="1"/>
  <c r="Z37" i="1"/>
  <c r="Z8" i="1"/>
  <c r="Z12" i="1"/>
  <c r="Z30" i="1"/>
  <c r="Z20" i="1"/>
  <c r="Z16" i="1"/>
  <c r="Z35" i="1"/>
  <c r="Z11" i="1"/>
  <c r="Z26" i="1"/>
  <c r="Z10" i="1"/>
  <c r="Z25" i="1"/>
  <c r="Z23" i="1"/>
  <c r="Z21" i="1"/>
  <c r="Z33" i="1"/>
  <c r="Z5" i="1"/>
  <c r="Z29" i="1"/>
  <c r="Z18" i="1"/>
  <c r="Z9" i="1"/>
  <c r="Z34" i="1"/>
  <c r="Z14" i="1"/>
  <c r="AL74" i="2"/>
  <c r="AK74" i="2" s="1"/>
  <c r="AL70" i="2"/>
  <c r="AK70" i="2" s="1"/>
  <c r="AL73" i="2"/>
  <c r="AK73" i="2" s="1"/>
  <c r="AK68" i="2"/>
  <c r="AK80" i="2"/>
  <c r="AK98" i="2"/>
  <c r="AK85" i="2"/>
  <c r="AK138" i="2"/>
  <c r="AK118" i="2"/>
  <c r="AK105" i="2"/>
  <c r="AK104" i="2"/>
  <c r="AK65" i="2"/>
  <c r="AK64" i="2"/>
  <c r="AK62" i="2"/>
  <c r="AK142" i="2"/>
  <c r="AK75" i="2"/>
  <c r="AK102" i="2"/>
  <c r="AK76" i="2"/>
  <c r="AK69" i="2"/>
  <c r="AK108" i="2"/>
  <c r="AK155" i="2"/>
  <c r="AK116" i="2"/>
  <c r="AK67" i="2"/>
  <c r="AK175" i="2"/>
  <c r="AK120" i="2"/>
  <c r="AK143" i="2"/>
  <c r="AK84" i="2"/>
  <c r="AK103" i="2"/>
  <c r="AK83" i="2"/>
  <c r="AK145" i="2"/>
  <c r="AK111" i="2"/>
  <c r="AK123" i="2"/>
  <c r="AK115" i="2"/>
  <c r="AK122" i="2"/>
  <c r="AK63" i="2"/>
  <c r="AK60" i="2"/>
  <c r="AK154" i="2"/>
  <c r="AK93" i="2"/>
  <c r="AK109" i="2"/>
  <c r="AK99" i="2"/>
  <c r="AK110" i="2"/>
  <c r="AK134" i="2"/>
  <c r="AK94" i="2"/>
  <c r="AK139" i="2"/>
  <c r="AK152" i="2"/>
  <c r="AK153" i="2"/>
  <c r="AK113" i="2"/>
  <c r="AK96" i="2"/>
  <c r="AK135" i="2"/>
  <c r="AK86" i="2"/>
  <c r="AK59" i="2"/>
  <c r="AK174" i="2"/>
  <c r="AK140" i="2"/>
  <c r="AK66" i="2"/>
  <c r="AK106" i="2"/>
  <c r="AK100" i="2"/>
  <c r="AK136" i="2"/>
  <c r="AK82" i="2"/>
  <c r="AK61" i="2"/>
  <c r="AK176" i="2"/>
  <c r="AK119" i="2"/>
  <c r="AK114" i="2"/>
  <c r="AK95" i="2"/>
  <c r="AK121" i="2"/>
  <c r="AK101" i="2"/>
  <c r="AK112" i="2"/>
  <c r="AK124" i="2"/>
  <c r="AK107" i="2"/>
  <c r="AK97" i="2"/>
  <c r="AK137" i="2"/>
  <c r="AK141" i="2"/>
  <c r="AK144" i="2"/>
  <c r="AK43" i="2"/>
  <c r="AK117" i="2"/>
  <c r="K15" i="7"/>
  <c r="K39" i="7"/>
  <c r="K14" i="7"/>
  <c r="K41" i="7"/>
  <c r="K13" i="7"/>
  <c r="K16" i="7"/>
  <c r="K40" i="7"/>
  <c r="C48" i="7"/>
  <c r="G75" i="7"/>
  <c r="C76" i="7"/>
  <c r="G69" i="7"/>
  <c r="C49" i="7"/>
  <c r="G19" i="7"/>
  <c r="C74" i="7"/>
  <c r="G41" i="7"/>
  <c r="C47" i="7"/>
  <c r="G27" i="7"/>
  <c r="G71" i="7"/>
  <c r="G39" i="7"/>
  <c r="G29" i="7"/>
  <c r="C45" i="7"/>
  <c r="G51" i="7"/>
  <c r="G33" i="7"/>
  <c r="G43" i="7"/>
  <c r="C75" i="7"/>
  <c r="G77" i="7"/>
  <c r="C51" i="7"/>
  <c r="G38" i="7"/>
  <c r="G50" i="7"/>
  <c r="G42" i="7"/>
  <c r="G46" i="7"/>
  <c r="G70" i="7"/>
  <c r="G36" i="7"/>
  <c r="C55" i="7"/>
  <c r="G34" i="7"/>
  <c r="G23" i="7"/>
  <c r="G25" i="7"/>
  <c r="G37" i="7"/>
  <c r="C63" i="7"/>
  <c r="C46" i="7"/>
  <c r="C73" i="7"/>
  <c r="C44" i="7"/>
  <c r="G48" i="7"/>
  <c r="G76" i="7"/>
  <c r="G74" i="7"/>
  <c r="G22" i="7"/>
  <c r="G66" i="7"/>
  <c r="C64" i="7"/>
  <c r="G44" i="7"/>
  <c r="G64" i="7"/>
  <c r="C72" i="7"/>
  <c r="G45" i="7"/>
  <c r="G65" i="7"/>
  <c r="G49" i="7"/>
  <c r="G47" i="7"/>
  <c r="G28" i="7"/>
  <c r="G32" i="7"/>
  <c r="G31" i="7"/>
  <c r="C54" i="7"/>
  <c r="G20" i="7"/>
  <c r="G18" i="7"/>
  <c r="G68" i="7"/>
  <c r="G40" i="7"/>
  <c r="G73" i="7"/>
  <c r="G26" i="7"/>
  <c r="G30" i="7"/>
  <c r="C53" i="7"/>
  <c r="C70" i="7"/>
  <c r="C50" i="7"/>
  <c r="G24" i="7"/>
  <c r="AL72" i="2"/>
  <c r="AL71" i="2"/>
  <c r="AL11" i="2"/>
  <c r="AL31" i="2"/>
  <c r="AL13" i="2"/>
  <c r="AL32" i="2"/>
  <c r="AL14" i="2"/>
  <c r="AL34" i="2"/>
  <c r="AL44" i="2"/>
  <c r="AL15" i="2"/>
  <c r="AL12" i="2"/>
  <c r="AL33" i="2"/>
  <c r="AL45" i="2"/>
  <c r="AL10" i="2"/>
  <c r="S91" i="5"/>
  <c r="S89" i="5"/>
  <c r="F20" i="6"/>
  <c r="F19" i="6"/>
  <c r="F17" i="6"/>
  <c r="F30" i="6"/>
  <c r="F18" i="6"/>
  <c r="F24" i="6"/>
  <c r="F16" i="6"/>
  <c r="F15" i="6"/>
  <c r="F21" i="6"/>
  <c r="F14" i="6"/>
  <c r="F22" i="6"/>
  <c r="F23" i="6"/>
  <c r="J50" i="6"/>
  <c r="F11" i="6"/>
  <c r="F12" i="6"/>
  <c r="F8" i="6"/>
  <c r="F9" i="6"/>
  <c r="K12" i="6"/>
  <c r="K7" i="6"/>
  <c r="K10" i="6"/>
  <c r="K11" i="6"/>
  <c r="K9" i="6"/>
  <c r="C34" i="7"/>
  <c r="AG202" i="2" a="1"/>
  <c r="AG148" i="2" a="1"/>
  <c r="AG201" i="2" a="1"/>
  <c r="AG204" i="2" a="1"/>
  <c r="AG186" i="2" a="1"/>
  <c r="AG206" i="2" a="1"/>
  <c r="AG180" i="2" a="1"/>
  <c r="AG199" i="2" a="1"/>
  <c r="AG198" i="2" a="1"/>
  <c r="AG182" i="2" a="1"/>
  <c r="AG192" i="2" a="1"/>
  <c r="AG177" i="2" a="1"/>
  <c r="AG178" i="2" a="1"/>
  <c r="AG150" i="2" a="1"/>
  <c r="AG147" i="2" a="1"/>
  <c r="AG151" i="2" a="1"/>
  <c r="AG146" i="2" a="1"/>
  <c r="AG187" i="2" a="1"/>
  <c r="AG208" i="2" a="1"/>
  <c r="AG188" i="2" a="1"/>
  <c r="AG193" i="2" a="1"/>
  <c r="AG191" i="2" a="1"/>
  <c r="AG196" i="2" a="1"/>
  <c r="AG194" i="2" a="1"/>
  <c r="AG189" i="2" a="1"/>
  <c r="AG190" i="2" a="1"/>
  <c r="AG205" i="2" a="1"/>
  <c r="AG149" i="2" a="1"/>
  <c r="AG203" i="2" a="1"/>
  <c r="AG179" i="2" a="1"/>
  <c r="AG181" i="2" a="1"/>
  <c r="AG183" i="2" a="1"/>
  <c r="AG200" i="2" a="1"/>
  <c r="AG184" i="2" a="1"/>
  <c r="AG185" i="2" a="1"/>
  <c r="AG210" i="2" a="1"/>
  <c r="AG207" i="2" a="1"/>
  <c r="AG195" i="2" a="1"/>
  <c r="AG209" i="2" a="1"/>
  <c r="AG197" i="2" a="1"/>
  <c r="AG209" i="2" l="1"/>
  <c r="AL209" i="2" s="1"/>
  <c r="Y36" i="1" s="1"/>
  <c r="AG184" i="2"/>
  <c r="AL184" i="2" s="1"/>
  <c r="Y11" i="1" s="1"/>
  <c r="AG200" i="2"/>
  <c r="AL200" i="2" s="1"/>
  <c r="Y27" i="1" s="1"/>
  <c r="AG190" i="2"/>
  <c r="AL190" i="2" s="1"/>
  <c r="Y17" i="1" s="1"/>
  <c r="AG179" i="2"/>
  <c r="AL179" i="2" s="1"/>
  <c r="AK179" i="2" s="1"/>
  <c r="AG180" i="2"/>
  <c r="AL180" i="2" s="1"/>
  <c r="K46" i="7" s="1"/>
  <c r="AG189" i="2"/>
  <c r="AL189" i="2" s="1"/>
  <c r="Y16" i="1" s="1"/>
  <c r="AG196" i="2"/>
  <c r="AL196" i="2" s="1"/>
  <c r="Y23" i="1" s="1"/>
  <c r="AG147" i="2"/>
  <c r="AL147" i="2" s="1"/>
  <c r="G80" i="7" s="1"/>
  <c r="AG150" i="2"/>
  <c r="AL150" i="2" s="1"/>
  <c r="AK150" i="2" s="1"/>
  <c r="AG177" i="2"/>
  <c r="AL177" i="2" s="1"/>
  <c r="AK177" i="2" s="1"/>
  <c r="AG198" i="2"/>
  <c r="AL198" i="2" s="1"/>
  <c r="Y25" i="1" s="1"/>
  <c r="AG204" i="2"/>
  <c r="AL204" i="2" s="1"/>
  <c r="Y31" i="1" s="1"/>
  <c r="AG148" i="2"/>
  <c r="AL148" i="2" s="1"/>
  <c r="AK148" i="2" s="1"/>
  <c r="AG181" i="2"/>
  <c r="AL181" i="2" s="1"/>
  <c r="AK181" i="2" s="1"/>
  <c r="AG182" i="2"/>
  <c r="AL182" i="2" s="1"/>
  <c r="K48" i="7" s="1"/>
  <c r="AG149" i="2"/>
  <c r="AL149" i="2" s="1"/>
  <c r="G82" i="7" s="1"/>
  <c r="AG197" i="2"/>
  <c r="AL197" i="2" s="1"/>
  <c r="Y24" i="1" s="1"/>
  <c r="AG208" i="2"/>
  <c r="AL208" i="2" s="1"/>
  <c r="Y35" i="1" s="1"/>
  <c r="AG187" i="2"/>
  <c r="AL187" i="2" s="1"/>
  <c r="Y14" i="1" s="1"/>
  <c r="AG185" i="2"/>
  <c r="AL185" i="2" s="1"/>
  <c r="Y12" i="1" s="1"/>
  <c r="AG207" i="2"/>
  <c r="AL207" i="2" s="1"/>
  <c r="Y34" i="1" s="1"/>
  <c r="AG183" i="2"/>
  <c r="AL183" i="2" s="1"/>
  <c r="Y10" i="1" s="1"/>
  <c r="AG151" i="2"/>
  <c r="AL151" i="2" s="1"/>
  <c r="G84" i="7" s="1"/>
  <c r="AG203" i="2"/>
  <c r="AL203" i="2" s="1"/>
  <c r="Y30" i="1" s="1"/>
  <c r="AG186" i="2"/>
  <c r="AL186" i="2" s="1"/>
  <c r="Y13" i="1" s="1"/>
  <c r="AG194" i="2"/>
  <c r="AL194" i="2" s="1"/>
  <c r="Y21" i="1" s="1"/>
  <c r="AG191" i="2"/>
  <c r="AL191" i="2" s="1"/>
  <c r="Y18" i="1" s="1"/>
  <c r="AG206" i="2"/>
  <c r="AL206" i="2" s="1"/>
  <c r="Y33" i="1" s="1"/>
  <c r="AG178" i="2"/>
  <c r="AL178" i="2" s="1"/>
  <c r="K44" i="7" s="1"/>
  <c r="AG192" i="2"/>
  <c r="AL192" i="2" s="1"/>
  <c r="Y19" i="1" s="1"/>
  <c r="AG199" i="2"/>
  <c r="AL199" i="2" s="1"/>
  <c r="Y26" i="1" s="1"/>
  <c r="AG201" i="2"/>
  <c r="AL201" i="2" s="1"/>
  <c r="Y28" i="1" s="1"/>
  <c r="AG202" i="2"/>
  <c r="AL202" i="2" s="1"/>
  <c r="Y29" i="1" s="1"/>
  <c r="AG193" i="2"/>
  <c r="AL193" i="2" s="1"/>
  <c r="Y20" i="1" s="1"/>
  <c r="AG195" i="2"/>
  <c r="AL195" i="2" s="1"/>
  <c r="Y22" i="1" s="1"/>
  <c r="AG188" i="2"/>
  <c r="AL188" i="2" s="1"/>
  <c r="Y15" i="1" s="1"/>
  <c r="AG205" i="2"/>
  <c r="AL205" i="2" s="1"/>
  <c r="Y32" i="1" s="1"/>
  <c r="AG210" i="2"/>
  <c r="AL210" i="2" s="1"/>
  <c r="Y37" i="1" s="1"/>
  <c r="AG146" i="2"/>
  <c r="AL146" i="2" s="1"/>
  <c r="AK146" i="2" s="1"/>
  <c r="AK10" i="2"/>
  <c r="AK163" i="2"/>
  <c r="AK164" i="2"/>
  <c r="AK78" i="2"/>
  <c r="G16" i="7"/>
  <c r="AK161" i="2"/>
  <c r="AK90" i="2"/>
  <c r="AK167" i="2"/>
  <c r="AK79" i="2"/>
  <c r="AK166" i="2"/>
  <c r="J68" i="6"/>
  <c r="J67" i="6"/>
  <c r="AK91" i="2"/>
  <c r="J61" i="6"/>
  <c r="J57" i="6"/>
  <c r="J62" i="6"/>
  <c r="J64" i="6"/>
  <c r="J63" i="6"/>
  <c r="J66" i="6"/>
  <c r="J65" i="6"/>
  <c r="K21" i="7"/>
  <c r="AK132" i="2"/>
  <c r="AK88" i="2"/>
  <c r="G61" i="7"/>
  <c r="J58" i="6"/>
  <c r="K28" i="7"/>
  <c r="J60" i="6"/>
  <c r="AK168" i="2"/>
  <c r="AK173" i="2"/>
  <c r="J54" i="6"/>
  <c r="J52" i="6"/>
  <c r="K25" i="7"/>
  <c r="C66" i="7"/>
  <c r="G13" i="7"/>
  <c r="G62" i="7"/>
  <c r="J49" i="6"/>
  <c r="J48" i="6"/>
  <c r="J53" i="6"/>
  <c r="K36" i="7"/>
  <c r="K19" i="7"/>
  <c r="K20" i="7"/>
  <c r="K32" i="7"/>
  <c r="AK170" i="2"/>
  <c r="AK160" i="2"/>
  <c r="K35" i="7"/>
  <c r="K18" i="7"/>
  <c r="C71" i="7"/>
  <c r="AK131" i="2"/>
  <c r="AK87" i="2"/>
  <c r="Y6" i="1"/>
  <c r="Y7" i="1"/>
  <c r="G35" i="6"/>
  <c r="G33" i="6"/>
  <c r="G39" i="6"/>
  <c r="N6" i="2"/>
  <c r="O2" i="2" s="1"/>
  <c r="C57" i="7"/>
  <c r="C61" i="7"/>
  <c r="C60" i="7"/>
  <c r="AK13" i="2"/>
  <c r="AK72" i="2"/>
  <c r="AK11" i="2"/>
  <c r="AK12" i="2"/>
  <c r="AK31" i="2"/>
  <c r="AK207" i="2"/>
  <c r="AK17" i="2"/>
  <c r="AK33" i="2"/>
  <c r="AK15" i="2"/>
  <c r="AK71" i="2"/>
  <c r="AK180" i="2"/>
  <c r="AK44" i="2"/>
  <c r="AK189" i="2"/>
  <c r="AK34" i="2"/>
  <c r="AK45" i="2"/>
  <c r="AK14" i="2"/>
  <c r="AK32" i="2"/>
  <c r="AK184" i="2"/>
  <c r="AK209" i="2"/>
  <c r="AK185" i="2"/>
  <c r="D20" i="7"/>
  <c r="K51" i="7"/>
  <c r="K52" i="7"/>
  <c r="K78" i="7"/>
  <c r="C59" i="7"/>
  <c r="C58" i="7"/>
  <c r="C36" i="7"/>
  <c r="C31" i="7"/>
  <c r="C15" i="7"/>
  <c r="C30" i="7"/>
  <c r="C16" i="7"/>
  <c r="C17" i="7"/>
  <c r="C29" i="7"/>
  <c r="C13" i="7"/>
  <c r="F70" i="6"/>
  <c r="C14" i="7"/>
  <c r="C21" i="7"/>
  <c r="C18" i="7"/>
  <c r="F69" i="6"/>
  <c r="C20" i="7"/>
  <c r="F66" i="6"/>
  <c r="F67" i="6"/>
  <c r="F62" i="6"/>
  <c r="C32" i="7"/>
  <c r="F68" i="6"/>
  <c r="F71" i="6"/>
  <c r="C35" i="7"/>
  <c r="F25" i="6"/>
  <c r="F26" i="6"/>
  <c r="F29" i="6"/>
  <c r="F28" i="6"/>
  <c r="F27" i="6"/>
  <c r="E32" i="6"/>
  <c r="Y5" i="1" l="1"/>
  <c r="K76" i="7"/>
  <c r="K57" i="7"/>
  <c r="N32" i="6"/>
  <c r="M33" i="6" s="1"/>
  <c r="K50" i="7"/>
  <c r="K45" i="7"/>
  <c r="AK200" i="2"/>
  <c r="K68" i="7"/>
  <c r="K43" i="7"/>
  <c r="AK183" i="2"/>
  <c r="AK203" i="2"/>
  <c r="AK202" i="2"/>
  <c r="G83" i="7"/>
  <c r="AK191" i="2"/>
  <c r="Y4" i="1"/>
  <c r="AK147" i="2"/>
  <c r="K70" i="7"/>
  <c r="K62" i="7"/>
  <c r="K65" i="7"/>
  <c r="K58" i="7"/>
  <c r="K56" i="7"/>
  <c r="AK178" i="2"/>
  <c r="K47" i="7"/>
  <c r="K74" i="7"/>
  <c r="AK198" i="2"/>
  <c r="K67" i="7"/>
  <c r="AK194" i="2"/>
  <c r="AK186" i="2"/>
  <c r="K69" i="7"/>
  <c r="K59" i="7"/>
  <c r="K64" i="7"/>
  <c r="AK195" i="2"/>
  <c r="G81" i="7"/>
  <c r="AK199" i="2"/>
  <c r="G79" i="7"/>
  <c r="AK196" i="2"/>
  <c r="K53" i="7"/>
  <c r="AK192" i="2"/>
  <c r="K77" i="7"/>
  <c r="AK187" i="2"/>
  <c r="Y9" i="1"/>
  <c r="Y8" i="1"/>
  <c r="AK149" i="2"/>
  <c r="AK182" i="2"/>
  <c r="K73" i="7"/>
  <c r="AK201" i="2"/>
  <c r="K61" i="7"/>
  <c r="AK210" i="2"/>
  <c r="AK188" i="2"/>
  <c r="K75" i="7"/>
  <c r="AK190" i="2"/>
  <c r="AK206" i="2"/>
  <c r="AK193" i="2"/>
  <c r="K55" i="7"/>
  <c r="AK208" i="2"/>
  <c r="AK151" i="2"/>
  <c r="AK204" i="2"/>
  <c r="K79" i="7"/>
  <c r="K63" i="7"/>
  <c r="K72" i="7"/>
  <c r="K66" i="7"/>
  <c r="K54" i="7"/>
  <c r="AK197" i="2"/>
  <c r="AK205" i="2"/>
  <c r="M39" i="6"/>
  <c r="M36" i="6"/>
  <c r="M42" i="6"/>
  <c r="O6" i="2"/>
  <c r="P2" i="2" s="1"/>
  <c r="D48" i="6"/>
  <c r="F48" i="6" s="1"/>
  <c r="D47" i="6"/>
  <c r="P6" i="2" l="1"/>
  <c r="Q2" i="2" s="1"/>
  <c r="Q6" i="2" s="1"/>
  <c r="R2" i="2" l="1"/>
  <c r="R6" i="2" s="1"/>
  <c r="S2" i="2" s="1"/>
  <c r="S6" i="2" l="1"/>
  <c r="T2" i="2" s="1"/>
  <c r="T6" i="2" l="1"/>
  <c r="U2" i="2" s="1"/>
  <c r="U6" i="2" l="1"/>
  <c r="V2" i="2" s="1"/>
  <c r="V6" i="2" l="1"/>
  <c r="W2" i="2" s="1"/>
  <c r="W6" i="2" l="1"/>
  <c r="X2" i="2" s="1"/>
  <c r="X6" i="2" l="1"/>
  <c r="Y2" i="2" s="1"/>
  <c r="Y6" i="2" l="1"/>
  <c r="Z2" i="2" s="1"/>
  <c r="Z6" i="2" l="1"/>
  <c r="AA2" i="2" s="1"/>
  <c r="AA6" i="2" l="1"/>
  <c r="AB2" i="2" s="1"/>
  <c r="AB6" i="2" l="1"/>
  <c r="AC2" i="2" s="1"/>
  <c r="AC6" i="2" l="1"/>
  <c r="AD2" i="2" s="1"/>
  <c r="AD6" i="2" l="1"/>
  <c r="O10" i="6"/>
  <c r="O7" i="6"/>
  <c r="O9" i="6"/>
  <c r="O8"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<sst xmlns="http://schemas.openxmlformats.org/spreadsheetml/2006/main" count="4043" uniqueCount="998">
  <si>
    <t>Rolemaster Unified</t>
  </si>
  <si>
    <t>Character Name</t>
  </si>
  <si>
    <t>Player Name</t>
  </si>
  <si>
    <t>Campaign</t>
  </si>
  <si>
    <t>Character Level</t>
  </si>
  <si>
    <t>Current Exp</t>
  </si>
  <si>
    <t>Target Exp</t>
  </si>
  <si>
    <t>Race</t>
  </si>
  <si>
    <t>Culture</t>
  </si>
  <si>
    <t>Profession</t>
  </si>
  <si>
    <t>Realm</t>
  </si>
  <si>
    <t>Age</t>
  </si>
  <si>
    <t>Weight</t>
  </si>
  <si>
    <t>Build</t>
  </si>
  <si>
    <t>Encumberence</t>
  </si>
  <si>
    <t>Stat</t>
  </si>
  <si>
    <t>Agility (AG)</t>
  </si>
  <si>
    <t>Constitution (CO)</t>
  </si>
  <si>
    <t>Empathy (EM)</t>
  </si>
  <si>
    <t>Intuition (IN)</t>
  </si>
  <si>
    <t>Memory (ME)</t>
  </si>
  <si>
    <t>Quickness (QU)</t>
  </si>
  <si>
    <t>Presence (PR)</t>
  </si>
  <si>
    <t>Reasoning (RE)</t>
  </si>
  <si>
    <t>Self-Discipline (SD)</t>
  </si>
  <si>
    <t>Strength (ST)</t>
  </si>
  <si>
    <t>Pot</t>
  </si>
  <si>
    <t>Temp</t>
  </si>
  <si>
    <t>Bonus</t>
  </si>
  <si>
    <t>Total</t>
  </si>
  <si>
    <t>Misc</t>
  </si>
  <si>
    <t>Size</t>
  </si>
  <si>
    <t>Male</t>
  </si>
  <si>
    <t>Pace</t>
  </si>
  <si>
    <t>Creep</t>
  </si>
  <si>
    <t>Walk</t>
  </si>
  <si>
    <t>Jog</t>
  </si>
  <si>
    <t>Run</t>
  </si>
  <si>
    <t>Sprint</t>
  </si>
  <si>
    <t>Dash</t>
  </si>
  <si>
    <t>Initiative</t>
  </si>
  <si>
    <t>4 AP</t>
  </si>
  <si>
    <t>4+ AP</t>
  </si>
  <si>
    <t>Stride</t>
  </si>
  <si>
    <t>Height (in)</t>
  </si>
  <si>
    <t>Weight (lbs)</t>
  </si>
  <si>
    <t>Hit Points</t>
  </si>
  <si>
    <t>Endurance</t>
  </si>
  <si>
    <t>Max</t>
  </si>
  <si>
    <t>Torso</t>
  </si>
  <si>
    <t>Head</t>
  </si>
  <si>
    <t>Arms</t>
  </si>
  <si>
    <t>Legs</t>
  </si>
  <si>
    <t>Shield</t>
  </si>
  <si>
    <t>Armor</t>
  </si>
  <si>
    <t>AT</t>
  </si>
  <si>
    <t>STR</t>
  </si>
  <si>
    <t>DB</t>
  </si>
  <si>
    <t>Resistance Rolls</t>
  </si>
  <si>
    <t>Lvl x2</t>
  </si>
  <si>
    <t>Channeling</t>
  </si>
  <si>
    <t>Essence</t>
  </si>
  <si>
    <t>Mentalism</t>
  </si>
  <si>
    <t>Physical</t>
  </si>
  <si>
    <t>Fear</t>
  </si>
  <si>
    <t>IN</t>
  </si>
  <si>
    <t>EM</t>
  </si>
  <si>
    <t>PR</t>
  </si>
  <si>
    <t>CO</t>
  </si>
  <si>
    <t>SD</t>
  </si>
  <si>
    <t>Recovery</t>
  </si>
  <si>
    <t>Bonus Dev</t>
  </si>
  <si>
    <t>Bonus End</t>
  </si>
  <si>
    <t>Category</t>
  </si>
  <si>
    <t>Name</t>
  </si>
  <si>
    <t>Stats</t>
  </si>
  <si>
    <t>Ranks</t>
  </si>
  <si>
    <t>Knack</t>
  </si>
  <si>
    <t>Total Bonus</t>
  </si>
  <si>
    <t>DP Cost</t>
  </si>
  <si>
    <t>Animal</t>
  </si>
  <si>
    <t>Animal Handling</t>
  </si>
  <si>
    <t>Riding</t>
  </si>
  <si>
    <t>AG+EM+PR</t>
  </si>
  <si>
    <t>Rank Bonus</t>
  </si>
  <si>
    <t>Awareness</t>
  </si>
  <si>
    <t>Perception</t>
  </si>
  <si>
    <t>Tracking</t>
  </si>
  <si>
    <t>IN+RE+SD</t>
  </si>
  <si>
    <t>Battle Expertise</t>
  </si>
  <si>
    <t>Mounted Combat</t>
  </si>
  <si>
    <t>Protect</t>
  </si>
  <si>
    <t>Restricted Quarters</t>
  </si>
  <si>
    <t>Subduing</t>
  </si>
  <si>
    <t>NA</t>
  </si>
  <si>
    <t>Body Discipline</t>
  </si>
  <si>
    <t>Adrenal Defense</t>
  </si>
  <si>
    <t>Adrenal Focus</t>
  </si>
  <si>
    <t>Adrenal Speed</t>
  </si>
  <si>
    <t>Adrenal Strength</t>
  </si>
  <si>
    <t>CO+SD+AG</t>
  </si>
  <si>
    <t>CO+SD+SD</t>
  </si>
  <si>
    <t>CO+SD+QU</t>
  </si>
  <si>
    <t>CO+SD+ST</t>
  </si>
  <si>
    <t>Brawn</t>
  </si>
  <si>
    <t>Body Development</t>
  </si>
  <si>
    <t>Fortitude</t>
  </si>
  <si>
    <t>Weight Training</t>
  </si>
  <si>
    <t>CO+SD+CO</t>
  </si>
  <si>
    <t>Combat Expertise</t>
  </si>
  <si>
    <t>Blind Fighting</t>
  </si>
  <si>
    <t>Disarm</t>
  </si>
  <si>
    <t>Footwork</t>
  </si>
  <si>
    <t>Multiple Attacks</t>
  </si>
  <si>
    <t>Reverse Strike</t>
  </si>
  <si>
    <t>Combat Training</t>
  </si>
  <si>
    <t>Melee</t>
  </si>
  <si>
    <t>Unarmed</t>
  </si>
  <si>
    <t>Ranged</t>
  </si>
  <si>
    <t>AG+ST+ST</t>
  </si>
  <si>
    <t>AG+ST+AG</t>
  </si>
  <si>
    <t>Composition</t>
  </si>
  <si>
    <t>Illusion Crafting</t>
  </si>
  <si>
    <t>Musical Composition</t>
  </si>
  <si>
    <t>Writing</t>
  </si>
  <si>
    <t>EM+IN+PR</t>
  </si>
  <si>
    <t>EM+IN+RE</t>
  </si>
  <si>
    <t>Crafting</t>
  </si>
  <si>
    <t>Culinary</t>
  </si>
  <si>
    <t>Drawing/Painting</t>
  </si>
  <si>
    <t>Fabric Craft</t>
  </si>
  <si>
    <t>Leathercraft</t>
  </si>
  <si>
    <t>Metalcraft</t>
  </si>
  <si>
    <t>Stonecraft</t>
  </si>
  <si>
    <t>Woodcraft</t>
  </si>
  <si>
    <t>AG+ME+SD</t>
  </si>
  <si>
    <t>AG+ME+IN</t>
  </si>
  <si>
    <t>AG+ME+ST</t>
  </si>
  <si>
    <t>Delving</t>
  </si>
  <si>
    <t>Attunement</t>
  </si>
  <si>
    <t>Runes</t>
  </si>
  <si>
    <t>Environmental</t>
  </si>
  <si>
    <t>Navigation</t>
  </si>
  <si>
    <t>Piloting</t>
  </si>
  <si>
    <t>Survival</t>
  </si>
  <si>
    <t>IN+ME+RE</t>
  </si>
  <si>
    <t>IN+ME+AG</t>
  </si>
  <si>
    <t>Acrobatics</t>
  </si>
  <si>
    <t>Contortions</t>
  </si>
  <si>
    <t>Jumping</t>
  </si>
  <si>
    <t>AG+QU+ST</t>
  </si>
  <si>
    <t>AG+QU+SD</t>
  </si>
  <si>
    <t>Lore</t>
  </si>
  <si>
    <t>Creature Lore</t>
  </si>
  <si>
    <t>Historic Lore</t>
  </si>
  <si>
    <t>Materials Lore</t>
  </si>
  <si>
    <t>Racial Lore</t>
  </si>
  <si>
    <t>Region Lore</t>
  </si>
  <si>
    <t>Religion/Philosophy</t>
  </si>
  <si>
    <t>Spell Lore</t>
  </si>
  <si>
    <t>ME+ME+RE</t>
  </si>
  <si>
    <t>Lore: Languages</t>
  </si>
  <si>
    <t>Spoken</t>
  </si>
  <si>
    <t>Written</t>
  </si>
  <si>
    <t>Magical Expertise</t>
  </si>
  <si>
    <t>Grace</t>
  </si>
  <si>
    <t>Spell Trickery</t>
  </si>
  <si>
    <t>Transcendence</t>
  </si>
  <si>
    <t>Medical</t>
  </si>
  <si>
    <t>Herbalism</t>
  </si>
  <si>
    <t>Medicine</t>
  </si>
  <si>
    <t>Poison Mastery</t>
  </si>
  <si>
    <t>Mental Discipline</t>
  </si>
  <si>
    <t>Control Lycanthropy</t>
  </si>
  <si>
    <t>Meditation</t>
  </si>
  <si>
    <t>Mental Focus</t>
  </si>
  <si>
    <t>PR+SD+SD</t>
  </si>
  <si>
    <t>Movement</t>
  </si>
  <si>
    <t>Climbing</t>
  </si>
  <si>
    <t>Flying</t>
  </si>
  <si>
    <t>Running</t>
  </si>
  <si>
    <t>Swimming</t>
  </si>
  <si>
    <t>AG+ST+CO</t>
  </si>
  <si>
    <t>Performance Art</t>
  </si>
  <si>
    <t>Acting</t>
  </si>
  <si>
    <t>Music</t>
  </si>
  <si>
    <t>Stage Magic</t>
  </si>
  <si>
    <t>EM+PR+ME</t>
  </si>
  <si>
    <t>EM+PR+AG</t>
  </si>
  <si>
    <t>Power Manipulation</t>
  </si>
  <si>
    <t>Directed Spells</t>
  </si>
  <si>
    <t>Power Development</t>
  </si>
  <si>
    <t>Power Projection</t>
  </si>
  <si>
    <t>RS+RS+ME</t>
  </si>
  <si>
    <t>RS+RS+AG</t>
  </si>
  <si>
    <t>RS+RS+CO</t>
  </si>
  <si>
    <t>RS+RS+SD</t>
  </si>
  <si>
    <t>Science</t>
  </si>
  <si>
    <t>Architecture</t>
  </si>
  <si>
    <t>Astronomy</t>
  </si>
  <si>
    <t>Engineering</t>
  </si>
  <si>
    <t>Mathematics</t>
  </si>
  <si>
    <t>ME+RE+RE</t>
  </si>
  <si>
    <t>Social</t>
  </si>
  <si>
    <t>Influence</t>
  </si>
  <si>
    <t>Charm</t>
  </si>
  <si>
    <t>Leadership</t>
  </si>
  <si>
    <t>Social Awareness</t>
  </si>
  <si>
    <t>Trading</t>
  </si>
  <si>
    <t>Duping</t>
  </si>
  <si>
    <t>Intimidation</t>
  </si>
  <si>
    <t>EM+IN+EM</t>
  </si>
  <si>
    <t>Subterfuge</t>
  </si>
  <si>
    <t>Ambush</t>
  </si>
  <si>
    <t>Concealment</t>
  </si>
  <si>
    <t>Stalking</t>
  </si>
  <si>
    <t>Trickery</t>
  </si>
  <si>
    <t>AG+SD+IN</t>
  </si>
  <si>
    <t>Technical</t>
  </si>
  <si>
    <t>Locks</t>
  </si>
  <si>
    <t>Mechanics</t>
  </si>
  <si>
    <t>Traps</t>
  </si>
  <si>
    <t>IN+RE+AG</t>
  </si>
  <si>
    <t>IN+RE+ME</t>
  </si>
  <si>
    <t>Vocation</t>
  </si>
  <si>
    <t>Administration</t>
  </si>
  <si>
    <t>Service</t>
  </si>
  <si>
    <t>Trade</t>
  </si>
  <si>
    <t>EM+ME+RE</t>
  </si>
  <si>
    <t>EM+ME+PR</t>
  </si>
  <si>
    <t>Realm Stat</t>
  </si>
  <si>
    <t>Rank Development</t>
  </si>
  <si>
    <t>Current Ranks</t>
  </si>
  <si>
    <t>Development Points Remaining -&gt;</t>
  </si>
  <si>
    <t>Development Points Available -&gt;</t>
  </si>
  <si>
    <t>Rank Development Calculations</t>
  </si>
  <si>
    <t>Table 2-4a: Profession Skill Costs</t>
  </si>
  <si>
    <t>No Profession</t>
  </si>
  <si>
    <t>Fighter</t>
  </si>
  <si>
    <t>Warrior Monk</t>
  </si>
  <si>
    <t>Thief</t>
  </si>
  <si>
    <t>Rogue</t>
  </si>
  <si>
    <t>Laborer</t>
  </si>
  <si>
    <t>Scholar</t>
  </si>
  <si>
    <t>Ranger</t>
  </si>
  <si>
    <t>Paladin</t>
  </si>
  <si>
    <t>Monk</t>
  </si>
  <si>
    <t>Magent</t>
  </si>
  <si>
    <t>Bard</t>
  </si>
  <si>
    <t>Dabbler</t>
  </si>
  <si>
    <t>Cleric</t>
  </si>
  <si>
    <t>Druid</t>
  </si>
  <si>
    <t>Magician</t>
  </si>
  <si>
    <t>Illusionist</t>
  </si>
  <si>
    <t>Mentalist</t>
  </si>
  <si>
    <t>Lay Healer</t>
  </si>
  <si>
    <t>Healer</t>
  </si>
  <si>
    <t>Mystic</t>
  </si>
  <si>
    <t>Sorcerer</t>
  </si>
  <si>
    <t>Combat Training 1</t>
  </si>
  <si>
    <t>Combat Training 2</t>
  </si>
  <si>
    <t>Combat Training 3</t>
  </si>
  <si>
    <t>Combat Training 4</t>
  </si>
  <si>
    <t>Gymnastics</t>
  </si>
  <si>
    <t>Base Spells</t>
  </si>
  <si>
    <t>Open Spells</t>
  </si>
  <si>
    <t>Magical Ritual</t>
  </si>
  <si>
    <t>Closed Spells</t>
  </si>
  <si>
    <t>Arcane</t>
  </si>
  <si>
    <t>Restricted Spells</t>
  </si>
  <si>
    <t>2/4</t>
  </si>
  <si>
    <t>2/3</t>
  </si>
  <si>
    <t>3/5</t>
  </si>
  <si>
    <t>1/3</t>
  </si>
  <si>
    <t>3/4</t>
  </si>
  <si>
    <t>4/6</t>
  </si>
  <si>
    <t>1/2</t>
  </si>
  <si>
    <t>7/10</t>
  </si>
  <si>
    <t>6/8</t>
  </si>
  <si>
    <t>5/7</t>
  </si>
  <si>
    <t>2/2</t>
  </si>
  <si>
    <t>15/20</t>
  </si>
  <si>
    <t>9/12</t>
  </si>
  <si>
    <t>15/15</t>
  </si>
  <si>
    <t>3/6</t>
  </si>
  <si>
    <t>.3/4</t>
  </si>
  <si>
    <t>12/15</t>
  </si>
  <si>
    <t>Reference</t>
  </si>
  <si>
    <t>Table 2-3: Cultures</t>
  </si>
  <si>
    <t>Skill</t>
  </si>
  <si>
    <t>Cosmopolitan</t>
  </si>
  <si>
    <t>Harsh</t>
  </si>
  <si>
    <t>Highland</t>
  </si>
  <si>
    <t>Mariner</t>
  </si>
  <si>
    <t>Nomad</t>
  </si>
  <si>
    <t>Reaver</t>
  </si>
  <si>
    <t>Rural</t>
  </si>
  <si>
    <t>Sylvan</t>
  </si>
  <si>
    <t>Underground</t>
  </si>
  <si>
    <t>Urban</t>
  </si>
  <si>
    <t>Maneuvering in Armor</t>
  </si>
  <si>
    <t>Weight-Training</t>
  </si>
  <si>
    <t>Melee Weapons</t>
  </si>
  <si>
    <t>Ranged Weapons</t>
  </si>
  <si>
    <t>Composition &amp; Performing Arts</t>
  </si>
  <si>
    <t>Crafting &amp; Vocation</t>
  </si>
  <si>
    <t>Languages</t>
  </si>
  <si>
    <t>Region (Own)</t>
  </si>
  <si>
    <t>Region (Neighboring)</t>
  </si>
  <si>
    <t>Other Lores</t>
  </si>
  <si>
    <t>Table 2-2a: Races</t>
  </si>
  <si>
    <t>Bonus DPs</t>
  </si>
  <si>
    <t>AG</t>
  </si>
  <si>
    <t>ME</t>
  </si>
  <si>
    <t>QU</t>
  </si>
  <si>
    <t>RE</t>
  </si>
  <si>
    <t>ST</t>
  </si>
  <si>
    <t>Base Hits</t>
  </si>
  <si>
    <t>Avinarc</t>
  </si>
  <si>
    <t>Dwarf</t>
  </si>
  <si>
    <t>Elf, Fair</t>
  </si>
  <si>
    <t>Elf, Grey</t>
  </si>
  <si>
    <t>Elf, High</t>
  </si>
  <si>
    <t>Elf, Wood</t>
  </si>
  <si>
    <t>Gnoll</t>
  </si>
  <si>
    <t>Gnome</t>
  </si>
  <si>
    <t>Goblin</t>
  </si>
  <si>
    <t>Gratar</t>
  </si>
  <si>
    <t>Half-Elf</t>
  </si>
  <si>
    <t>Halfling</t>
  </si>
  <si>
    <t>Hobgoblin</t>
  </si>
  <si>
    <t>Human, Cave</t>
  </si>
  <si>
    <t>Human, Common</t>
  </si>
  <si>
    <t>Human, High</t>
  </si>
  <si>
    <t>Human, Mixed</t>
  </si>
  <si>
    <t>Hvasstonn</t>
  </si>
  <si>
    <t>Idiyva</t>
  </si>
  <si>
    <t>Kobold</t>
  </si>
  <si>
    <t>Nycamerith</t>
  </si>
  <si>
    <t>Orc, Greater</t>
  </si>
  <si>
    <t>Orc, Grey</t>
  </si>
  <si>
    <t>Orc, Lesser</t>
  </si>
  <si>
    <t>Orc, Scrug</t>
  </si>
  <si>
    <t>Orc, Vard</t>
  </si>
  <si>
    <t>Plynos</t>
  </si>
  <si>
    <t>Sea-kral</t>
  </si>
  <si>
    <t>Sibbicai</t>
  </si>
  <si>
    <t>Sohleugir</t>
  </si>
  <si>
    <t>Sstoi'issluthi</t>
  </si>
  <si>
    <t>Troll</t>
  </si>
  <si>
    <t>Vulfen</t>
  </si>
  <si>
    <t>Female</t>
  </si>
  <si>
    <t>Height</t>
  </si>
  <si>
    <t>Talents</t>
  </si>
  <si>
    <t>M</t>
  </si>
  <si>
    <t>Acute Smell II
Light-Boned I
Natural Weaponry
Restricted Diet
Sight, Eagle
Wings, Vestigial</t>
  </si>
  <si>
    <t>Darkvision I
Inept V
Nightvision</t>
  </si>
  <si>
    <t>Efficient Sleeper II
Immune to Disease I
Nightvision</t>
  </si>
  <si>
    <t>Efficient Sleeper II
Immune to Disease I
Nightvision
Defensive Aura II
Golden Throat</t>
  </si>
  <si>
    <t>Efficient Sleeper II
Immune to Disease I
Nightvision
Hearing, Cat</t>
  </si>
  <si>
    <t>S</t>
  </si>
  <si>
    <t>Decreased Size I
Nightvision
Light Sensitivity I
Hearing, Hare
Prodigy II</t>
  </si>
  <si>
    <t>B</t>
  </si>
  <si>
    <t>Nightvision</t>
  </si>
  <si>
    <t>Darkvision I
Decreased Size I
Nightvision
Prodigy V
Light Sensitivity III</t>
  </si>
  <si>
    <t>Sight, Gecko
Recurved Musculature</t>
  </si>
  <si>
    <t>Efficient Sleeper I
Nightvision</t>
  </si>
  <si>
    <t>Decreased Size I
Prodigy II</t>
  </si>
  <si>
    <t>Darkvision II
Nightvision
Light Sensitivity I</t>
  </si>
  <si>
    <t>Increased Size I
Natural Weaponry
Restricted Diet</t>
  </si>
  <si>
    <t>Hearing, Cat
Natural Weaponry
Nightvision
Restricted Diet</t>
  </si>
  <si>
    <t>Decreased Size I
Darkvision I
Nightvision
Light Sensitivity II
Natural Weaponry, Lesser Attack</t>
  </si>
  <si>
    <t xml:space="preserve">Golden Throat
Hearing, Cat
Perfect Pitch I
Non-violent II
</t>
  </si>
  <si>
    <t>Darkvision I
Nightvision</t>
  </si>
  <si>
    <t>Darkvision II
Nightvision
Light Sensitivity II</t>
  </si>
  <si>
    <t>Darkvision I
Nightvision
Light Sensitivity I
Ambidextrous
Additional Limb Pair</t>
  </si>
  <si>
    <t>Darkvision II
Nightvision
Light Sensitivity II
Increased Size I</t>
  </si>
  <si>
    <t>Darkvision I
Nightvision
Light Sensitivity II</t>
  </si>
  <si>
    <t>Acute Smell II
Hearing, Cat
Restricted Diet
Natural Weaponry</t>
  </si>
  <si>
    <t>Nightvision
Extra Joints
Inept II</t>
  </si>
  <si>
    <t>Acute Smell III
Hearing, Dog
Natural Weaponry
Prodigy II</t>
  </si>
  <si>
    <t>Natural Armor III
Natural Weaponry
Sight, Gecko
Tetrachromatic Vision
Third Eyelid</t>
  </si>
  <si>
    <t>Heatsense
Natural Weaponry
Poison Injection
Strike Reflex</t>
  </si>
  <si>
    <t>Darkvision I
Inept V
Increased Size I
Light Sensitivity II
Natural Armor III
Natural Weaponry
Nightvision
Elemental Resistance III</t>
  </si>
  <si>
    <t>Acute Smell II
Hearing, Dog
Natural Weaponry
Restricted Diet
Frenzy</t>
  </si>
  <si>
    <t>Table 2-5a: Stat Bonuses (Extended)</t>
  </si>
  <si>
    <t>Stat Level</t>
  </si>
  <si>
    <t>Deviation</t>
  </si>
  <si>
    <t>Priority</t>
  </si>
  <si>
    <t>Speciality</t>
  </si>
  <si>
    <t>Home</t>
  </si>
  <si>
    <t>Rank</t>
  </si>
  <si>
    <t>Spells and Rituals</t>
  </si>
  <si>
    <t>Alteration</t>
  </si>
  <si>
    <t>Creation</t>
  </si>
  <si>
    <t>Defensive</t>
  </si>
  <si>
    <t>Destruction</t>
  </si>
  <si>
    <t>Elemental</t>
  </si>
  <si>
    <t>Healing</t>
  </si>
  <si>
    <t>Informational</t>
  </si>
  <si>
    <t>Summoning</t>
  </si>
  <si>
    <t>None</t>
  </si>
  <si>
    <t>Str</t>
  </si>
  <si>
    <t>Table</t>
  </si>
  <si>
    <t>Fum</t>
  </si>
  <si>
    <t>+0</t>
  </si>
  <si>
    <t>-</t>
  </si>
  <si>
    <t>Wrestling</t>
  </si>
  <si>
    <t>Value</t>
  </si>
  <si>
    <t>Skills and Abilities</t>
  </si>
  <si>
    <t>Rigid Leather</t>
  </si>
  <si>
    <t>Maneuvers</t>
  </si>
  <si>
    <t>Max Attacks</t>
  </si>
  <si>
    <t>Location</t>
  </si>
  <si>
    <t>Gender</t>
  </si>
  <si>
    <t>Blade</t>
  </si>
  <si>
    <t>Chain</t>
  </si>
  <si>
    <t>Hafted</t>
  </si>
  <si>
    <t>Greater Blade</t>
  </si>
  <si>
    <t>Greater Chain</t>
  </si>
  <si>
    <t>Greater Hafted</t>
  </si>
  <si>
    <t>Pole Arm</t>
  </si>
  <si>
    <t>Exotic</t>
  </si>
  <si>
    <t>Bow</t>
  </si>
  <si>
    <t>Crossbow</t>
  </si>
  <si>
    <t>Sling</t>
  </si>
  <si>
    <t>Thrown</t>
  </si>
  <si>
    <t>Unarmed Attacks</t>
  </si>
  <si>
    <t>Strikes</t>
  </si>
  <si>
    <t>Sweeps &amp; Throws</t>
  </si>
  <si>
    <t>Beak</t>
  </si>
  <si>
    <t>Bite</t>
  </si>
  <si>
    <t>Claw</t>
  </si>
  <si>
    <t>Horn</t>
  </si>
  <si>
    <t>Ram</t>
  </si>
  <si>
    <t>Stinger</t>
  </si>
  <si>
    <t>Trample</t>
  </si>
  <si>
    <t>Table 6.4: Armor and Shields</t>
  </si>
  <si>
    <t>Strength</t>
  </si>
  <si>
    <t>Maneuver</t>
  </si>
  <si>
    <t>Heavy Cloth</t>
  </si>
  <si>
    <t>Soft Leather</t>
  </si>
  <si>
    <t>Hide Scale</t>
  </si>
  <si>
    <t>Laminar</t>
  </si>
  <si>
    <t>Metal Scale</t>
  </si>
  <si>
    <t>Mail</t>
  </si>
  <si>
    <t>Brigandine</t>
  </si>
  <si>
    <t>Plate</t>
  </si>
  <si>
    <t>Chest Armor</t>
  </si>
  <si>
    <t>Head Armor</t>
  </si>
  <si>
    <t>Arm Armor</t>
  </si>
  <si>
    <t>Leg Armor</t>
  </si>
  <si>
    <t>Shields</t>
  </si>
  <si>
    <t>Target</t>
  </si>
  <si>
    <t>Normal</t>
  </si>
  <si>
    <t>Full</t>
  </si>
  <si>
    <t>Wall</t>
  </si>
  <si>
    <t>Realm_Bonus</t>
  </si>
  <si>
    <t>Realms</t>
  </si>
  <si>
    <t>Channeling/Essence</t>
  </si>
  <si>
    <t>Channeling/Mentalism</t>
  </si>
  <si>
    <t>Essence/Mentalism</t>
  </si>
  <si>
    <t>Elemental Bolts</t>
  </si>
  <si>
    <t>Illusionary Attacks</t>
  </si>
  <si>
    <t>Hurling</t>
  </si>
  <si>
    <t>Operation</t>
  </si>
  <si>
    <t>Repair &amp; Construction</t>
  </si>
  <si>
    <t>Defenses</t>
  </si>
  <si>
    <t>Offense</t>
  </si>
  <si>
    <t>Defensive Bonus</t>
  </si>
  <si>
    <t>Dodge</t>
  </si>
  <si>
    <t>Block</t>
  </si>
  <si>
    <t>Passive</t>
  </si>
  <si>
    <t>Partial</t>
  </si>
  <si>
    <t>Death</t>
  </si>
  <si>
    <t>Fatigue (-5/per)</t>
  </si>
  <si>
    <t>Bleeding</t>
  </si>
  <si>
    <t>Suffer # hits per round</t>
  </si>
  <si>
    <t>Breakage</t>
  </si>
  <si>
    <t>Roll Breakage for affected location</t>
  </si>
  <si>
    <t>Fatigue</t>
  </si>
  <si>
    <t>Suffer additional Fatigue loss</t>
  </si>
  <si>
    <t>Grapple</t>
  </si>
  <si>
    <t>Contest of Feat of Strength</t>
  </si>
  <si>
    <t>Hits</t>
  </si>
  <si>
    <t>Suffer # additional hits</t>
  </si>
  <si>
    <t>Penalties</t>
  </si>
  <si>
    <t>Staggered</t>
  </si>
  <si>
    <t>-X on all checks</t>
  </si>
  <si>
    <t>-1 AP</t>
  </si>
  <si>
    <t>Prone</t>
  </si>
  <si>
    <t>2 AP to stand</t>
  </si>
  <si>
    <t>Knocked Back</t>
  </si>
  <si>
    <t>Forced movement</t>
  </si>
  <si>
    <t>Stun (-25, -50, -75)</t>
  </si>
  <si>
    <t>Injury Definitions</t>
  </si>
  <si>
    <t>Healing Mechanics</t>
  </si>
  <si>
    <t>Reference specific spell definitions</t>
  </si>
  <si>
    <t>Herbs</t>
  </si>
  <si>
    <t>General Recovery</t>
  </si>
  <si>
    <t>Organ Dressing</t>
  </si>
  <si>
    <t>Bleed, Pressure</t>
  </si>
  <si>
    <t>Bleed, Stitches</t>
  </si>
  <si>
    <t>Bleed, Tourniquet</t>
  </si>
  <si>
    <t>Bleed, Cauterize</t>
  </si>
  <si>
    <t>Bone, Splint</t>
  </si>
  <si>
    <t>Burn, Water</t>
  </si>
  <si>
    <t>Burn, Salve</t>
  </si>
  <si>
    <t>Muscle, Splint</t>
  </si>
  <si>
    <t>Skin, Dressing</t>
  </si>
  <si>
    <t>System Shock</t>
  </si>
  <si>
    <t>Spells/Magic</t>
  </si>
  <si>
    <t>Apply</t>
  </si>
  <si>
    <t>Brew</t>
  </si>
  <si>
    <t>Ingest</t>
  </si>
  <si>
    <t>Liquid</t>
  </si>
  <si>
    <t>Paste</t>
  </si>
  <si>
    <t>Powder</t>
  </si>
  <si>
    <t>Potential Stat Balance:</t>
  </si>
  <si>
    <t>Temp Stat Balance:</t>
  </si>
  <si>
    <t>Potential Stats Bonus</t>
  </si>
  <si>
    <t>Tier</t>
  </si>
  <si>
    <t>Dash (x5)</t>
  </si>
  <si>
    <t>Sprint (x4)</t>
  </si>
  <si>
    <t>Run (x3)</t>
  </si>
  <si>
    <t>Jog (x2)</t>
  </si>
  <si>
    <t>Walk (x1)</t>
  </si>
  <si>
    <t>Rate</t>
  </si>
  <si>
    <t>Action Cost</t>
  </si>
  <si>
    <t>1 AP</t>
  </si>
  <si>
    <t>2 AP</t>
  </si>
  <si>
    <t>3 AP</t>
  </si>
  <si>
    <t>Action Penalty</t>
  </si>
  <si>
    <t>Armor Maneuver Penalty</t>
  </si>
  <si>
    <t>Charge Bonus</t>
  </si>
  <si>
    <t>+1</t>
  </si>
  <si>
    <t>+2</t>
  </si>
  <si>
    <t>Spell List</t>
  </si>
  <si>
    <t>Power Points</t>
  </si>
  <si>
    <t>Healing/Recovery</t>
  </si>
  <si>
    <t>Health Recovery</t>
  </si>
  <si>
    <t>Power Point Recovery</t>
  </si>
  <si>
    <t>Fatigue Recovery</t>
  </si>
  <si>
    <t>Healing Multiplier</t>
  </si>
  <si>
    <t>per Hour</t>
  </si>
  <si>
    <t>per Min</t>
  </si>
  <si>
    <t>+1.0</t>
  </si>
  <si>
    <t>OO-OO-OO-OO-OO</t>
  </si>
  <si>
    <t>Action</t>
  </si>
  <si>
    <t>Delay</t>
  </si>
  <si>
    <t>Expiration</t>
  </si>
  <si>
    <t>1d10 rounds</t>
  </si>
  <si>
    <t>10 minutes</t>
  </si>
  <si>
    <t>20 minutes</t>
  </si>
  <si>
    <t>1 week</t>
  </si>
  <si>
    <t>1 day, 1 week, 1 month</t>
  </si>
  <si>
    <t>1d10 days</t>
  </si>
  <si>
    <t>5 minutes</t>
  </si>
  <si>
    <t>1 month</t>
  </si>
  <si>
    <t>Classification</t>
  </si>
  <si>
    <t>Modifiers</t>
  </si>
  <si>
    <t>Effect</t>
  </si>
  <si>
    <t>1 hour rest</t>
  </si>
  <si>
    <t>Determine duration of injury</t>
  </si>
  <si>
    <t>Medicine Success</t>
  </si>
  <si>
    <t>Light wounds only</t>
  </si>
  <si>
    <t>1d4+1 minutes</t>
  </si>
  <si>
    <t>50% penalty</t>
  </si>
  <si>
    <t>none</t>
  </si>
  <si>
    <t>Stops 4/round bleed</t>
  </si>
  <si>
    <t>Light/Med Only</t>
  </si>
  <si>
    <t>3 min/point</t>
  </si>
  <si>
    <t>Stops bleeding</t>
  </si>
  <si>
    <t>No Head</t>
  </si>
  <si>
    <t>2 rounds</t>
  </si>
  <si>
    <t>Stops bleeding, relieve minute</t>
  </si>
  <si>
    <t>-5 per bleed</t>
  </si>
  <si>
    <t>1 round</t>
  </si>
  <si>
    <t>roll vs table</t>
  </si>
  <si>
    <t>1d4+2 minutes</t>
  </si>
  <si>
    <t>Delay Death by 1 round</t>
  </si>
  <si>
    <t>-10 per success</t>
  </si>
  <si>
    <t>Combat Trauma</t>
  </si>
  <si>
    <t>Remove trauma</t>
  </si>
  <si>
    <t>1 minute</t>
  </si>
  <si>
    <t>Limited to walk</t>
  </si>
  <si>
    <t>Check Interval</t>
  </si>
  <si>
    <t>Combat</t>
  </si>
  <si>
    <t>Concentration</t>
  </si>
  <si>
    <t>5 min</t>
  </si>
  <si>
    <t>1 min</t>
  </si>
  <si>
    <t>6 rounds</t>
  </si>
  <si>
    <t>Disoriented for 1 round per effect</t>
  </si>
  <si>
    <t>Armor Weights</t>
  </si>
  <si>
    <t>Shield Weight</t>
  </si>
  <si>
    <t>Total Defense Weight</t>
  </si>
  <si>
    <t>Type</t>
  </si>
  <si>
    <t>Attacks</t>
  </si>
  <si>
    <t>PB +20</t>
  </si>
  <si>
    <t>Range Increment</t>
  </si>
  <si>
    <t>Skill Type</t>
  </si>
  <si>
    <t>Range Table</t>
  </si>
  <si>
    <t>Point Blank</t>
  </si>
  <si>
    <t>+20</t>
  </si>
  <si>
    <t>Medium</t>
  </si>
  <si>
    <t>Short</t>
  </si>
  <si>
    <t>Long</t>
  </si>
  <si>
    <t>Extreme</t>
  </si>
  <si>
    <t>Absurd</t>
  </si>
  <si>
    <t>x1</t>
  </si>
  <si>
    <t>x2</t>
  </si>
  <si>
    <t>x3</t>
  </si>
  <si>
    <t>x4</t>
  </si>
  <si>
    <t>x5</t>
  </si>
  <si>
    <t>Band</t>
  </si>
  <si>
    <t>Table - Weapon Attacks</t>
  </si>
  <si>
    <t>Range</t>
  </si>
  <si>
    <t>Dagger</t>
  </si>
  <si>
    <t>Short Sword</t>
  </si>
  <si>
    <t>Arming Sword</t>
  </si>
  <si>
    <t>Epee</t>
  </si>
  <si>
    <t>Rapier</t>
  </si>
  <si>
    <t>Broadsword</t>
  </si>
  <si>
    <t>Scimitar</t>
  </si>
  <si>
    <t>Machete</t>
  </si>
  <si>
    <t>Falchion</t>
  </si>
  <si>
    <t>Claymore</t>
  </si>
  <si>
    <t>Long Scimitar</t>
  </si>
  <si>
    <t>Longsword</t>
  </si>
  <si>
    <t>Great Falchion</t>
  </si>
  <si>
    <t>Light Flail</t>
  </si>
  <si>
    <t>Flail</t>
  </si>
  <si>
    <t>Heavy Flail</t>
  </si>
  <si>
    <t>Hand Axe</t>
  </si>
  <si>
    <t>Battle Axe</t>
  </si>
  <si>
    <t>Blackjack</t>
  </si>
  <si>
    <t>Club</t>
  </si>
  <si>
    <t>Light Mace</t>
  </si>
  <si>
    <t>Mace</t>
  </si>
  <si>
    <t>Light Stick</t>
  </si>
  <si>
    <t>Fighting Stick</t>
  </si>
  <si>
    <t>War Hammer</t>
  </si>
  <si>
    <t>Long Axe</t>
  </si>
  <si>
    <t>Large Club</t>
  </si>
  <si>
    <t>Great Mace</t>
  </si>
  <si>
    <t>Quarterstaff</t>
  </si>
  <si>
    <t>War Mattock</t>
  </si>
  <si>
    <t>PB</t>
  </si>
  <si>
    <t>10'</t>
  </si>
  <si>
    <t>15'</t>
  </si>
  <si>
    <t>Glaive</t>
  </si>
  <si>
    <t>Halberd</t>
  </si>
  <si>
    <t>Poleaxe</t>
  </si>
  <si>
    <t>Spear</t>
  </si>
  <si>
    <t>Long Spear</t>
  </si>
  <si>
    <t>Target Shield</t>
  </si>
  <si>
    <t>Normal Shield</t>
  </si>
  <si>
    <t>Full Shield</t>
  </si>
  <si>
    <t>Wall Shield</t>
  </si>
  <si>
    <t>Whip</t>
  </si>
  <si>
    <t>Small Net</t>
  </si>
  <si>
    <t>Net</t>
  </si>
  <si>
    <t>Large Net</t>
  </si>
  <si>
    <t>Short Bow</t>
  </si>
  <si>
    <t>Composite Bow</t>
  </si>
  <si>
    <t>Long Bow</t>
  </si>
  <si>
    <t>Hand Crossbow</t>
  </si>
  <si>
    <t>Heavy Crossbow</t>
  </si>
  <si>
    <t>Slingshot</t>
  </si>
  <si>
    <t>Staff-Sling</t>
  </si>
  <si>
    <t>Bola</t>
  </si>
  <si>
    <t>Throwing Club</t>
  </si>
  <si>
    <t>Javelin</t>
  </si>
  <si>
    <t>Dart</t>
  </si>
  <si>
    <t>Small Rock</t>
  </si>
  <si>
    <t>Rock</t>
  </si>
  <si>
    <t>Heavy Rock</t>
  </si>
  <si>
    <t>Blowpipe</t>
  </si>
  <si>
    <t>20'</t>
  </si>
  <si>
    <t>100'</t>
  </si>
  <si>
    <t>60'</t>
  </si>
  <si>
    <t>30'</t>
  </si>
  <si>
    <t>70'</t>
  </si>
  <si>
    <t>80'</t>
  </si>
  <si>
    <t>25'</t>
  </si>
  <si>
    <t>Exotic Melee</t>
  </si>
  <si>
    <t>Cross</t>
  </si>
  <si>
    <t>Exotic Ranged</t>
  </si>
  <si>
    <t>Battle Axe/Spear</t>
  </si>
  <si>
    <t>MA Strikes</t>
  </si>
  <si>
    <t>MA Sweeps</t>
  </si>
  <si>
    <t>MA Wrestling</t>
  </si>
  <si>
    <t>Sweeps</t>
  </si>
  <si>
    <t>Unarmed Strikes</t>
  </si>
  <si>
    <t>Unarmed Sweeps</t>
  </si>
  <si>
    <t>Choose Character Race</t>
  </si>
  <si>
    <t>Undefined</t>
  </si>
  <si>
    <t>Options</t>
  </si>
  <si>
    <t>+DPs</t>
  </si>
  <si>
    <t>Choose Character Culture</t>
  </si>
  <si>
    <t>Aerial</t>
  </si>
  <si>
    <t>Ascended</t>
  </si>
  <si>
    <t>Coastal</t>
  </si>
  <si>
    <t>Dark</t>
  </si>
  <si>
    <t>Fringe</t>
  </si>
  <si>
    <t>Hermit</t>
  </si>
  <si>
    <t>Hunter</t>
  </si>
  <si>
    <t>Industrious</t>
  </si>
  <si>
    <t>Noble</t>
  </si>
  <si>
    <t>Oceanic</t>
  </si>
  <si>
    <t>Proud</t>
  </si>
  <si>
    <t>Ritualist</t>
  </si>
  <si>
    <t>Sanctified</t>
  </si>
  <si>
    <t>Secret Nomad</t>
  </si>
  <si>
    <t>Sea-Raider</t>
  </si>
  <si>
    <t>Singer</t>
  </si>
  <si>
    <t>Skulker</t>
  </si>
  <si>
    <t>Choose Character Profession</t>
  </si>
  <si>
    <t>Profession Cross Reference</t>
  </si>
  <si>
    <t>Culture Cross Reference</t>
  </si>
  <si>
    <t>Assassin</t>
  </si>
  <si>
    <t>Barbarian</t>
  </si>
  <si>
    <t>Outrider</t>
  </si>
  <si>
    <t>Swashbuckler</t>
  </si>
  <si>
    <t>Trader</t>
  </si>
  <si>
    <t>Hybrid</t>
  </si>
  <si>
    <t>Statistics</t>
  </si>
  <si>
    <t>Choose (or Determine) Temporary statistics equal to a net total of +15.0</t>
  </si>
  <si>
    <t>Choose (or Determine) Potential statistics equal to a net total of +55.0</t>
  </si>
  <si>
    <t>Temporary Statistic Net Bonus</t>
  </si>
  <si>
    <t>Potential Statistic Net Bonus</t>
  </si>
  <si>
    <t>Determine Statistics</t>
  </si>
  <si>
    <t>Determine Physical Attributes</t>
  </si>
  <si>
    <t>Base</t>
  </si>
  <si>
    <t>Base Weight</t>
  </si>
  <si>
    <t>Base Height</t>
  </si>
  <si>
    <t>Actual Height (in)</t>
  </si>
  <si>
    <t>Actual Weight (lbs)</t>
  </si>
  <si>
    <t>Roll (or Choose) the characters determined Height, Body Build, and Weight calculations</t>
  </si>
  <si>
    <t>Build &amp; Weight</t>
  </si>
  <si>
    <t>ft/rnd</t>
  </si>
  <si>
    <t>QU Bonus</t>
  </si>
  <si>
    <t>Base Rate</t>
  </si>
  <si>
    <t>Simple Rate</t>
  </si>
  <si>
    <t>Combat Skill Priorities</t>
  </si>
  <si>
    <t>ST/AG/ST</t>
  </si>
  <si>
    <t>AG/ST/AG</t>
  </si>
  <si>
    <t>Define Priority Ranks 1 to 4</t>
  </si>
  <si>
    <t>Statistic Bonus</t>
  </si>
  <si>
    <t>Development Cost</t>
  </si>
  <si>
    <t>Select Combat Training Priorities (1 is highest, 4 Is lowest)</t>
  </si>
  <si>
    <t>Cultural Skill Selections</t>
  </si>
  <si>
    <t>Allowed</t>
  </si>
  <si>
    <t>Allocate</t>
  </si>
  <si>
    <t>Skill Name</t>
  </si>
  <si>
    <t>Speciality 1</t>
  </si>
  <si>
    <t>Speciality 2</t>
  </si>
  <si>
    <t>Speciality 3</t>
  </si>
  <si>
    <t>Language - Spoken</t>
  </si>
  <si>
    <t>Language - Written</t>
  </si>
  <si>
    <t>Language 1</t>
  </si>
  <si>
    <t>Language 2</t>
  </si>
  <si>
    <t>Language 3</t>
  </si>
  <si>
    <t>Language 4</t>
  </si>
  <si>
    <t>Language 5</t>
  </si>
  <si>
    <t>Composition &amp; Performance</t>
  </si>
  <si>
    <t>Instrument 1</t>
  </si>
  <si>
    <t>Instrument 2</t>
  </si>
  <si>
    <t>Society 1</t>
  </si>
  <si>
    <t>Society 2</t>
  </si>
  <si>
    <t>Society 3</t>
  </si>
  <si>
    <t>Spell List 1</t>
  </si>
  <si>
    <t>Spell List 2</t>
  </si>
  <si>
    <t>Spell List 3</t>
  </si>
  <si>
    <t>Instrument 3</t>
  </si>
  <si>
    <t>Crafting &amp; Vocations</t>
  </si>
  <si>
    <t>Automatic Allocations (No choice required except for Specializations)</t>
  </si>
  <si>
    <t>Neighbor Region</t>
  </si>
  <si>
    <t>Define Cultural Skill allocations, max 2 per entry</t>
  </si>
  <si>
    <t>Specializations</t>
  </si>
  <si>
    <t>Required</t>
  </si>
  <si>
    <t>Optional</t>
  </si>
  <si>
    <t>Main Gauche</t>
  </si>
  <si>
    <t>Professional Skill</t>
  </si>
  <si>
    <t>Professional Skill Choices</t>
  </si>
  <si>
    <t>Available</t>
  </si>
  <si>
    <t>Count</t>
  </si>
  <si>
    <t>Knack Skill Choices</t>
  </si>
  <si>
    <t>Choose and Define your character's Professional Skills and Knacks.  Knacks are only valid for a selected Professional Skill</t>
  </si>
  <si>
    <t>Language</t>
  </si>
  <si>
    <t>Directed Spell</t>
  </si>
  <si>
    <t>Combat Training - Melee Weapons</t>
  </si>
  <si>
    <t>Combat Training - Unarmed</t>
  </si>
  <si>
    <t>Combat Training - Ranged</t>
  </si>
  <si>
    <t>Combat Training - Shield</t>
  </si>
  <si>
    <t>Rituals</t>
  </si>
  <si>
    <t>Expertise</t>
  </si>
  <si>
    <t>Level</t>
  </si>
  <si>
    <t>Talent/Flaw Choices</t>
  </si>
  <si>
    <t>Spell Casting</t>
  </si>
  <si>
    <t>Prof</t>
  </si>
  <si>
    <t>Skills -&gt;</t>
  </si>
  <si>
    <t>Spells -&gt;</t>
  </si>
  <si>
    <t>Talents/Flaws -&gt;</t>
  </si>
  <si>
    <t>Modifier</t>
  </si>
  <si>
    <t>Down</t>
  </si>
  <si>
    <t>Dead</t>
  </si>
  <si>
    <t>X</t>
  </si>
  <si>
    <t>Load</t>
  </si>
  <si>
    <t>MMP</t>
  </si>
  <si>
    <t>Max Pace</t>
  </si>
  <si>
    <t>Encumberence Modifiers</t>
  </si>
  <si>
    <t>Rate/round</t>
  </si>
  <si>
    <t>4/</t>
  </si>
  <si>
    <t>Region lore</t>
  </si>
  <si>
    <t>Rolemaster Unified
Copyright Iron Crown Enterprises
Character Sheet v1.06
created by halfling13@halfing13.com</t>
  </si>
  <si>
    <t>Battle Style</t>
  </si>
  <si>
    <t>Beserker</t>
  </si>
  <si>
    <t>Commander</t>
  </si>
  <si>
    <t>Doppelsoldner</t>
  </si>
  <si>
    <t>Horse Archer</t>
  </si>
  <si>
    <t>Mounted Knight</t>
  </si>
  <si>
    <t>Pikeman</t>
  </si>
  <si>
    <t>Shieldbearer</t>
  </si>
  <si>
    <t>Archery</t>
  </si>
  <si>
    <t>Bodyguard</t>
  </si>
  <si>
    <t>Dark Blade</t>
  </si>
  <si>
    <t>Dual Wielding</t>
  </si>
  <si>
    <t>Fencing</t>
  </si>
  <si>
    <t>Knife Master</t>
  </si>
  <si>
    <t>Sword Master</t>
  </si>
  <si>
    <t>Combat Style</t>
  </si>
  <si>
    <t>Discipline Style</t>
  </si>
  <si>
    <t>Bo-Jutsu</t>
  </si>
  <si>
    <t>Golden Claw</t>
  </si>
  <si>
    <t>Iron Robe</t>
  </si>
  <si>
    <t>Kraken Wrestling</t>
  </si>
  <si>
    <t>Mountain Grappler</t>
  </si>
  <si>
    <t>Shadow Strike</t>
  </si>
  <si>
    <t>West Wind</t>
  </si>
  <si>
    <t>Wyvern Style</t>
  </si>
  <si>
    <t>Combat Style Abilities</t>
  </si>
  <si>
    <t>Armored Mount</t>
  </si>
  <si>
    <t>Battle</t>
  </si>
  <si>
    <t>Cost</t>
  </si>
  <si>
    <t>Discipline</t>
  </si>
  <si>
    <t>x</t>
  </si>
  <si>
    <t>Aspect of Fear</t>
  </si>
  <si>
    <t>Assess the Field</t>
  </si>
  <si>
    <t>Battle Line</t>
  </si>
  <si>
    <t>Binding Chain</t>
  </si>
  <si>
    <t>Brave Legion</t>
  </si>
  <si>
    <t>Bullrush</t>
  </si>
  <si>
    <t>Careful Shot</t>
  </si>
  <si>
    <t>Concealed Strike</t>
  </si>
  <si>
    <t>Coordinated Maneuver</t>
  </si>
  <si>
    <t>Defensive Bash</t>
  </si>
  <si>
    <t>Defensive Ward</t>
  </si>
  <si>
    <t>Dirty Fighting</t>
  </si>
  <si>
    <t>Disarming</t>
  </si>
  <si>
    <t>Double Shot</t>
  </si>
  <si>
    <t>Dual-Draw</t>
  </si>
  <si>
    <t>Evade Shield</t>
  </si>
  <si>
    <t>Experienced Rider</t>
  </si>
  <si>
    <t>Expert Defense</t>
  </si>
  <si>
    <t>Fast Crank</t>
  </si>
  <si>
    <t>Feint</t>
  </si>
  <si>
    <t>Fight Free</t>
  </si>
  <si>
    <t>Focused Strike</t>
  </si>
  <si>
    <t>From the Shoulder</t>
  </si>
  <si>
    <t>Gentle Tap</t>
  </si>
  <si>
    <t>Get Inside</t>
  </si>
  <si>
    <t>Grab and Slam</t>
  </si>
  <si>
    <t>Greater Adrenal Defense</t>
  </si>
  <si>
    <t>Greater Adrenal Speed</t>
  </si>
  <si>
    <t>Greater Adrenal Strength</t>
  </si>
  <si>
    <t>Heedless Fury</t>
  </si>
  <si>
    <t>Hook Shield</t>
  </si>
  <si>
    <t>Improved Concealed Strike</t>
  </si>
  <si>
    <t>Improved Frenzy</t>
  </si>
  <si>
    <t>Improved Parry</t>
  </si>
  <si>
    <t>Improved Quickdraw</t>
  </si>
  <si>
    <t>Improved Quickload</t>
  </si>
  <si>
    <t>Improvised Weapons</t>
  </si>
  <si>
    <t>Jumping the Order</t>
  </si>
  <si>
    <t>Keep at Bay</t>
  </si>
  <si>
    <t>Killing Strike</t>
  </si>
  <si>
    <t>Lancer's Knockback</t>
  </si>
  <si>
    <t>Leg Sweep</t>
  </si>
  <si>
    <t>Lend Expertise</t>
  </si>
  <si>
    <t>Lightning Reflexes</t>
  </si>
  <si>
    <t>Loyal Protector</t>
  </si>
  <si>
    <t>Marshal's Voice</t>
  </si>
  <si>
    <t>Mountain Stance</t>
  </si>
  <si>
    <t>Mount's Attack</t>
  </si>
  <si>
    <t>Move Together</t>
  </si>
  <si>
    <t>Off-hand Dagger</t>
  </si>
  <si>
    <t>Off-hand Light Weapon</t>
  </si>
  <si>
    <t>Overbearing</t>
  </si>
  <si>
    <t>Pain Resistance</t>
  </si>
  <si>
    <t>Paired Weapon Attack</t>
  </si>
  <si>
    <t>Point-Blank Shot</t>
  </si>
  <si>
    <t>Pommel Strike</t>
  </si>
  <si>
    <t>Precise Target</t>
  </si>
  <si>
    <t>Protect Mount</t>
  </si>
  <si>
    <t>Protected Rider</t>
  </si>
  <si>
    <t>Push Through It</t>
  </si>
  <si>
    <t>Quick to Action</t>
  </si>
  <si>
    <t>Raging Wind</t>
  </si>
  <si>
    <t>Redirect</t>
  </si>
  <si>
    <t>Ride as One</t>
  </si>
  <si>
    <t>Ride Under Cover</t>
  </si>
  <si>
    <t>Second Rank</t>
  </si>
  <si>
    <t>Seen It</t>
  </si>
  <si>
    <t>Shadowblade</t>
  </si>
  <si>
    <t>Sharp Words</t>
  </si>
  <si>
    <t>Shield Bash</t>
  </si>
  <si>
    <t>Shield Press</t>
  </si>
  <si>
    <t>Shieldbreaker</t>
  </si>
  <si>
    <t>Shield Wall</t>
  </si>
  <si>
    <t>Shoot from Cover</t>
  </si>
  <si>
    <t>Shot on the Run</t>
  </si>
  <si>
    <t>Slowing Shot</t>
  </si>
  <si>
    <t>Split Focus</t>
  </si>
  <si>
    <t>Steady Shield</t>
  </si>
  <si>
    <t>Sweeping Parry</t>
  </si>
  <si>
    <t>Swift-Footed</t>
  </si>
  <si>
    <t>Throw and Melee</t>
  </si>
  <si>
    <t>Trick Shot</t>
  </si>
  <si>
    <t>Two-Handed Grip</t>
  </si>
  <si>
    <t>Unarmed Parry</t>
  </si>
  <si>
    <t>Vigilant</t>
  </si>
  <si>
    <t>Walk it Off</t>
  </si>
  <si>
    <t>Weapon Breaker</t>
  </si>
  <si>
    <t>Zone of Control</t>
  </si>
  <si>
    <t>Weapon Form - Dagger</t>
  </si>
  <si>
    <t>Weapon Form - Small Net</t>
  </si>
  <si>
    <t>Weapon Form - Light Weapon</t>
  </si>
  <si>
    <t>Weapon Form - Light Flail</t>
  </si>
  <si>
    <t>Weapon Form - Net</t>
  </si>
  <si>
    <t>Weapon Form - 1H Weapon</t>
  </si>
  <si>
    <t>Weapon Form - 1H Chain/Flail</t>
  </si>
  <si>
    <t>Weapon Form - Quarterstaff</t>
  </si>
  <si>
    <t>Battle Styles</t>
  </si>
  <si>
    <t>Shield Breaker</t>
  </si>
  <si>
    <t>Off-Hand Light Weapon</t>
  </si>
  <si>
    <t>Off-Hand Dagger</t>
  </si>
  <si>
    <t>Combat Styles</t>
  </si>
  <si>
    <t>Moutain Stance</t>
  </si>
  <si>
    <t>Discipline Styles</t>
  </si>
  <si>
    <t>Berserker</t>
  </si>
  <si>
    <t>Fighting Styles</t>
  </si>
  <si>
    <t>Style Ranks</t>
  </si>
  <si>
    <t>Unspent Ranks</t>
  </si>
  <si>
    <t>Battle Fighting Styles</t>
  </si>
  <si>
    <t>Combat Fighting Styles</t>
  </si>
  <si>
    <t>Discipline Fighting Styles</t>
  </si>
  <si>
    <t>Assigned Ranks</t>
  </si>
  <si>
    <t>Style Table 1</t>
  </si>
  <si>
    <t>Style Table 2</t>
  </si>
  <si>
    <t>Step 2
Select Culture</t>
  </si>
  <si>
    <t>Step 4
Determine Statistics, both Temporary and Potential, using your game methodology
For our home game, beginning characters receive a net bonus of +15.0 for Temporary values, and a net bonus of +55.0 for Potential values
Of note, as a house rule we calculate incremental stat bonuses to avoid plateaus.  All fractions are carried until rounding at the final steps.</t>
  </si>
  <si>
    <t>Step 5
Either roll or choose appropriate deviations for the character Height, Build and Weight.
Encumberence is based on calculated Weight.
Base Rate is calculated base on Quickness, Height, and Racial modifiers.
As a house rule, we utilize simplified movement, rounding all Base Move Rates to the nearest 5 foot increment per round</t>
  </si>
  <si>
    <t>Step 6
Define your Combat Skill Priorities, assigning each from 1 to 4.  Priority 1 is the most important (and cheapest), Priority 4 is the least (and most expensive).</t>
  </si>
  <si>
    <t>Step 7
Based on Character Culture, each character receives free initial skill ranks.
On the right, these are automatically added to the skill table.
On the left are the series of optional assignments - for each category assign ranks to each respective skill until the Allocate column reads 0.  No skill can receive more than 2 ranks per the rules.
If desired, the Specialization entry can be adjusted or specified, it will update on the main skill list</t>
  </si>
  <si>
    <t>Step 8
At this point, initial character choices are done.
Move to step 9 (to the left) for finishing touches</t>
  </si>
  <si>
    <t>Step 9
On the Main Page, enter the following entries:
Realm of Magic
Character Name
Age
Any Talents (to include Tier, Value, and Level acquired)
Select the Armor type worn
Select the Shield type equipped</t>
  </si>
  <si>
    <t>Step 10
On the Skill Workbook, develop skills and spells per game mechanics for each level.
Skills can be pre-developed for future levels, calculations only include up to the active character level (as listed on the Main page)
For any skills which require or allow optional Specialities, update the relevant fields.
As a house rule, we allow any unspent Development Points to carry over to the next level</t>
  </si>
  <si>
    <t>Step 11
Once Completed, Print or Reference the Blue tabs during gameplay (Main, Skills, and Combat)
The Skill Workbook can be used whenever you need to advance or train
The Base Details should not need to be modified after initial creation
Do NOT adjust or change details on the Source Data (Red) tab unless you know what you are doing
Enjoy</t>
  </si>
  <si>
    <t>Step 9b
Talents and Flaws are far too complex to pre-program into the sheet, there is just too many variables.  Most can be entered into the various formulas, but they will need to be done on a case by case basis.
I am working on at least entering the titles and costs for quick selection, with that data TBD.</t>
  </si>
  <si>
    <t>Casting</t>
  </si>
  <si>
    <t>Character Generation Workbook</t>
  </si>
  <si>
    <t>Instructions</t>
  </si>
  <si>
    <t>TALENTS
Talents are not automated due to their complexity.  For each Talent or Flaw, enter:
- the title
- the desired Tier
- the level of character when it was acquired
- and the total value.
This will adjust Development Points on the Skill Workbook, but any game effects will need to be mainly adjusted</t>
  </si>
  <si>
    <t>ARMOR
Armor is fully automated, enter your selection here by location using the drop down menus.  If your armor has any special DB bonuses, enter the adjustments in the field
Shields can be selected from the dropdown at the bottom as well</t>
  </si>
  <si>
    <t>Character Level
Current Character Level is entered here.  Skills automatically calculate bonuses based on development only to this level, allowing for skill to be pre-developed</t>
  </si>
  <si>
    <t>Skill Summary
No adjustments on this page should be necessary, enter all changes to Skills on the Skills Workbook page</t>
  </si>
  <si>
    <t xml:space="preserve">ATTACKS
Fill in the Attack table by selecting each specific weapon or attack type from the drop down.  </t>
  </si>
  <si>
    <t>FIGHTING STYLES
Fighting Styles are new, and space is provided for 2 options.  Select your Style title from the dropdown (Row 70).  That will populate your Style Abilities for the drop downs in the  lower cells.
As you develop the fighting style, select abilities with the lower drop downs.  For abilities that allow multiple purchases, update the Tier for each additional level
All Ability mechanics will need to be manually applied, there is no automation for that level of complexity</t>
  </si>
  <si>
    <t>Realm of Magic</t>
  </si>
  <si>
    <t>Step 3
Select Profession
Be sure to define your Realm of Magic
Based on Profession, Select up to 10 Professional Skill Choices.
Of the Professional Skills, Select up to 2 as Knacks</t>
  </si>
  <si>
    <t>Step 1
Select Race, Gender, and Age</t>
  </si>
  <si>
    <t>Define your realm of Magic</t>
  </si>
  <si>
    <t>Rolemaster Character Sheet Change Log</t>
  </si>
  <si>
    <t>Prior</t>
  </si>
  <si>
    <t>Versions before 1.06</t>
  </si>
  <si>
    <t>Initial designs and concepts, for which details and logs were not kept</t>
  </si>
  <si>
    <t>Updated format and incorporated changes with Character Companion</t>
  </si>
  <si>
    <t>Cleaned up the instruction sheet and added text instructions for clarity</t>
  </si>
  <si>
    <t>Color coded tabs and instruction blocks</t>
  </si>
  <si>
    <t>Reduced redundancy from active character sheet tabs</t>
  </si>
  <si>
    <t>Created a consolidated Skills page for use during the game</t>
  </si>
  <si>
    <t>Expanded Race, Culture, and Fighting Style data tables</t>
  </si>
  <si>
    <t>1.06.1</t>
  </si>
  <si>
    <t>Moved Realm and Age to the Base Details process</t>
  </si>
  <si>
    <t>Updated instructions</t>
  </si>
  <si>
    <t>Added the Change Log</t>
  </si>
  <si>
    <t>Disclaimers
This effort is free for your use and printing, and is not meant to challenge the Copyright of Iron Crown Enterprises, or the intellectual property of Rolemaster or Rolemaster Unified
If you have any questions, need assistance, or find any errors, please contact me either thru Discord on the Iron Crown Discord or by email at halfling13@halfling13.com
You can follow the adventures of our home RPG Tabletop group on Youtube at:
https://www.youtube.com/@DiceAndDeeds-H13
If you wish to support our efforts directly, you can do so thru Patreon at
https://www.patreon.com/halfling13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</si>
</sst>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_);\-#,##0"/>
    <numFmt numFmtId="165" formatCode="\+#,##0.0_);\-#,##0.0"/>
    <numFmt numFmtId="166" formatCode="0.0%"/>
    <numFmt numFmtId="167" formatCode="0.0"/>
    <numFmt numFmtId="168" formatCode="\+#,##0.00_);\-#,##0.00"/>
  </numFmts>
  <fonts count="26" x14ac:knownFonts="1">
    <font>
      <sz val="11"/>
      <color theme="1"/>
      <name val="Aptos Narrow"/>
      <family val="2"/>
      <scheme val="minor"/>
    </font>
    <font>
      <sz val="11"/>
      <color theme="1"/>
      <name val="Aptos Narrow"/>
      <family val="2"/>
      <scheme val="minor"/>
    </font>
    <font>
      <b/>
      <sz val="11"/>
      <color theme="1"/>
      <name val="Aptos Narrow"/>
      <family val="2"/>
      <scheme val="minor"/>
    </font>
    <font>
      <sz val="48"/>
      <color theme="1"/>
      <name val="Tolkien"/>
    </font>
    <font>
      <b/>
      <sz val="11"/>
      <color theme="1"/>
      <name val="Aptos Narrow"/>
      <family val="2"/>
      <scheme val="minor"/>
    </font>
    <font>
      <sz val="8"/>
      <name val="Aptos Narrow"/>
      <family val="2"/>
      <scheme val="minor"/>
    </font>
    <font>
      <i/>
      <sz val="11"/>
      <color theme="1"/>
      <name val="Aptos Narrow"/>
      <family val="2"/>
      <scheme val="minor"/>
    </font>
    <font>
      <sz val="16"/>
      <color theme="1"/>
      <name val="Aptos Narrow"/>
      <family val="2"/>
      <scheme val="minor"/>
    </font>
    <font>
      <sz val="18"/>
      <color theme="1"/>
      <name val="Aptos Narrow"/>
      <family val="2"/>
      <scheme val="minor"/>
    </font>
    <font>
      <sz val="20"/>
      <color theme="1"/>
      <name val="Aptos Narrow"/>
      <family val="2"/>
      <scheme val="minor"/>
    </font>
    <font>
      <sz val="22"/>
      <color theme="1"/>
      <name val="Aptos Narrow"/>
      <family val="2"/>
      <scheme val="minor"/>
    </font>
    <font>
      <sz val="24"/>
      <color theme="1"/>
      <name val="Aptos Narrow"/>
      <family val="2"/>
      <scheme val="minor"/>
    </font>
    <font>
      <b/>
      <sz val="10"/>
      <color theme="1"/>
      <name val="Aptos Narrow"/>
      <family val="2"/>
      <scheme val="minor"/>
    </font>
    <font>
      <sz val="14"/>
      <color theme="1"/>
      <name val="Aptos Narrow"/>
      <family val="2"/>
      <scheme val="minor"/>
    </font>
    <font>
      <b/>
      <sz val="12"/>
      <color theme="1"/>
      <name val="Aptos Narrow"/>
      <family val="2"/>
      <scheme val="minor"/>
    </font>
    <font>
      <b/>
      <sz val="14"/>
      <color theme="1"/>
      <name val="Aptos Narrow"/>
      <family val="2"/>
      <scheme val="minor"/>
    </font>
    <font>
      <b/>
      <sz val="16"/>
      <color theme="1"/>
      <name val="Aptos Narrow"/>
      <family val="2"/>
      <scheme val="minor"/>
    </font>
    <font>
      <b/>
      <sz val="18"/>
      <color theme="1"/>
      <name val="Aptos Narrow"/>
      <family val="2"/>
      <scheme val="minor"/>
    </font>
    <font>
      <b/>
      <sz val="20"/>
      <color theme="1"/>
      <name val="Aptos Narrow"/>
      <family val="2"/>
      <scheme val="minor"/>
    </font>
    <font>
      <b/>
      <i/>
      <sz val="11"/>
      <color theme="1"/>
      <name val="Aptos Narrow"/>
      <family val="2"/>
      <scheme val="minor"/>
    </font>
    <font>
      <sz val="36"/>
      <color theme="1"/>
      <name val="Tolkien"/>
    </font>
    <font>
      <b/>
      <sz val="36"/>
      <color theme="1"/>
      <name val="Tolkien"/>
    </font>
    <font>
      <b/>
      <sz val="9"/>
      <color theme="1"/>
      <name val="Aptos Narrow"/>
      <family val="2"/>
      <scheme val="minor"/>
    </font>
    <font>
      <sz val="28"/>
      <color theme="1"/>
      <name val="Aptos Narrow"/>
      <family val="2"/>
      <scheme val="minor"/>
    </font>
    <font>
      <sz val="72"/>
      <color theme="1"/>
      <name val="Tolkien"/>
    </font>
    <font>
      <sz val="48"/>
      <color theme="1"/>
      <name val="Aptos Narrow"/>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5" tint="0.79998168889431442"/>
        <bgColor indexed="64"/>
      </patternFill>
    </fill>
  </fills>
  <borders count="11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auto="1"/>
      </left>
      <right style="thin">
        <color auto="1"/>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style="medium">
        <color indexed="64"/>
      </right>
      <top/>
      <bottom style="thin">
        <color auto="1"/>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diagonal/>
    </border>
    <border>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auto="1"/>
      </left>
      <right/>
      <top/>
      <bottom style="thin">
        <color auto="1"/>
      </bottom>
      <diagonal/>
    </border>
    <border>
      <left style="thin">
        <color indexed="64"/>
      </left>
      <right/>
      <top style="thin">
        <color indexed="64"/>
      </top>
      <bottom/>
      <diagonal/>
    </border>
    <border>
      <left/>
      <right/>
      <top/>
      <bottom style="dashed">
        <color indexed="64"/>
      </bottom>
      <diagonal/>
    </border>
    <border>
      <left/>
      <right style="medium">
        <color indexed="64"/>
      </right>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medium">
        <color indexed="64"/>
      </left>
      <right/>
      <top/>
      <bottom style="dashed">
        <color indexed="64"/>
      </bottom>
      <diagonal/>
    </border>
    <border>
      <left style="medium">
        <color indexed="64"/>
      </left>
      <right/>
      <top style="dashed">
        <color indexed="64"/>
      </top>
      <bottom style="medium">
        <color indexed="64"/>
      </bottom>
      <diagonal/>
    </border>
    <border>
      <left style="medium">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dashed">
        <color indexed="64"/>
      </left>
      <right style="medium">
        <color indexed="64"/>
      </right>
      <top/>
      <bottom style="medium">
        <color indexed="64"/>
      </bottom>
      <diagonal/>
    </border>
    <border>
      <left style="dashed">
        <color indexed="64"/>
      </left>
      <right style="medium">
        <color indexed="64"/>
      </right>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dashed">
        <color indexed="64"/>
      </top>
      <bottom style="dashed">
        <color indexed="64"/>
      </bottom>
      <diagonal/>
    </border>
    <border>
      <left style="medium">
        <color indexed="64"/>
      </left>
      <right/>
      <top style="medium">
        <color indexed="64"/>
      </top>
      <bottom style="thin">
        <color indexed="64"/>
      </bottom>
      <diagonal/>
    </border>
    <border>
      <left/>
      <right style="mediumDashed">
        <color indexed="64"/>
      </right>
      <top/>
      <bottom/>
      <diagonal/>
    </border>
    <border>
      <left style="mediumDashed">
        <color indexed="64"/>
      </left>
      <right style="mediumDashed">
        <color indexed="64"/>
      </right>
      <top/>
      <bottom/>
      <diagonal/>
    </border>
    <border>
      <left style="mediumDashed">
        <color indexed="64"/>
      </left>
      <right/>
      <top/>
      <bottom/>
      <diagonal/>
    </border>
    <border>
      <left/>
      <right style="mediumDashed">
        <color indexed="64"/>
      </right>
      <top/>
      <bottom style="medium">
        <color indexed="64"/>
      </bottom>
      <diagonal/>
    </border>
    <border>
      <left style="mediumDashed">
        <color indexed="64"/>
      </left>
      <right style="mediumDashed">
        <color indexed="64"/>
      </right>
      <top/>
      <bottom style="medium">
        <color indexed="64"/>
      </bottom>
      <diagonal/>
    </border>
    <border>
      <left style="mediumDashed">
        <color indexed="64"/>
      </left>
      <right/>
      <top/>
      <bottom style="medium">
        <color indexed="64"/>
      </bottom>
      <diagonal/>
    </border>
    <border>
      <left/>
      <right/>
      <top/>
      <bottom style="mediumDashed">
        <color auto="1"/>
      </bottom>
      <diagonal/>
    </border>
    <border>
      <left style="medium">
        <color indexed="64"/>
      </left>
      <right/>
      <top/>
      <bottom style="mediumDashed">
        <color auto="1"/>
      </bottom>
      <diagonal/>
    </border>
    <border>
      <left/>
      <right style="medium">
        <color indexed="64"/>
      </right>
      <top/>
      <bottom style="mediumDashed">
        <color auto="1"/>
      </bottom>
      <diagonal/>
    </border>
    <border>
      <left/>
      <right/>
      <top style="mediumDashed">
        <color auto="1"/>
      </top>
      <bottom/>
      <diagonal/>
    </border>
    <border>
      <left style="medium">
        <color indexed="64"/>
      </left>
      <right/>
      <top style="mediumDashed">
        <color auto="1"/>
      </top>
      <bottom/>
      <diagonal/>
    </border>
    <border>
      <left/>
      <right style="medium">
        <color indexed="64"/>
      </right>
      <top style="mediumDashed">
        <color auto="1"/>
      </top>
      <bottom/>
      <diagonal/>
    </border>
    <border>
      <left style="medium">
        <color indexed="64"/>
      </left>
      <right style="medium">
        <color indexed="64"/>
      </right>
      <top/>
      <bottom style="mediumDashed">
        <color auto="1"/>
      </bottom>
      <diagonal/>
    </border>
    <border>
      <left style="medium">
        <color indexed="64"/>
      </left>
      <right style="medium">
        <color indexed="64"/>
      </right>
      <top style="mediumDashed">
        <color auto="1"/>
      </top>
      <bottom/>
      <diagonal/>
    </border>
    <border>
      <left style="mediumDashed">
        <color indexed="64"/>
      </left>
      <right/>
      <top/>
      <bottom style="double">
        <color indexed="64"/>
      </bottom>
      <diagonal/>
    </border>
    <border>
      <left/>
      <right style="mediumDashed">
        <color indexed="64"/>
      </right>
      <top/>
      <bottom style="double">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diagonal/>
    </border>
    <border>
      <left style="medium">
        <color indexed="64"/>
      </left>
      <right/>
      <top style="medium">
        <color indexed="64"/>
      </top>
      <bottom style="mediumDashed">
        <color indexed="64"/>
      </bottom>
      <diagonal/>
    </border>
    <border>
      <left/>
      <right/>
      <top style="medium">
        <color indexed="64"/>
      </top>
      <bottom style="mediumDashed">
        <color indexed="64"/>
      </bottom>
      <diagonal/>
    </border>
    <border>
      <left/>
      <right style="medium">
        <color indexed="64"/>
      </right>
      <top style="medium">
        <color indexed="64"/>
      </top>
      <bottom style="mediumDashed">
        <color indexed="64"/>
      </bottom>
      <diagonal/>
    </border>
    <border>
      <left/>
      <right style="thin">
        <color indexed="64"/>
      </right>
      <top style="thin">
        <color indexed="64"/>
      </top>
      <bottom style="mediumDashed">
        <color indexed="64"/>
      </bottom>
      <diagonal/>
    </border>
    <border>
      <left style="thin">
        <color indexed="64"/>
      </left>
      <right style="thin">
        <color indexed="64"/>
      </right>
      <top style="thin">
        <color indexed="64"/>
      </top>
      <bottom style="mediumDashed">
        <color indexed="64"/>
      </bottom>
      <diagonal/>
    </border>
    <border>
      <left style="thin">
        <color indexed="64"/>
      </left>
      <right style="medium">
        <color indexed="64"/>
      </right>
      <top style="thin">
        <color indexed="64"/>
      </top>
      <bottom style="mediumDashed">
        <color indexed="64"/>
      </bottom>
      <diagonal/>
    </border>
    <border>
      <left style="medium">
        <color indexed="64"/>
      </left>
      <right style="thin">
        <color indexed="64"/>
      </right>
      <top style="thin">
        <color indexed="64"/>
      </top>
      <bottom style="medium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style="mediumDashed">
        <color indexed="64"/>
      </left>
      <right style="thin">
        <color indexed="64"/>
      </right>
      <top style="thin">
        <color indexed="64"/>
      </top>
      <bottom style="thin">
        <color indexed="64"/>
      </bottom>
      <diagonal/>
    </border>
    <border>
      <left style="mediumDashed">
        <color indexed="64"/>
      </left>
      <right style="thin">
        <color indexed="64"/>
      </right>
      <top style="thin">
        <color indexed="64"/>
      </top>
      <bottom style="medium">
        <color indexed="64"/>
      </bottom>
      <diagonal/>
    </border>
    <border>
      <left style="mediumDashed">
        <color indexed="64"/>
      </left>
      <right/>
      <top style="thin">
        <color indexed="64"/>
      </top>
      <bottom style="thin">
        <color indexed="64"/>
      </bottom>
      <diagonal/>
    </border>
    <border>
      <left style="mediumDashed">
        <color indexed="64"/>
      </left>
      <right style="thin">
        <color indexed="64"/>
      </right>
      <top/>
      <bottom style="thin">
        <color indexed="64"/>
      </bottom>
      <diagonal/>
    </border>
    <border>
      <left style="thin">
        <color indexed="64"/>
      </left>
      <right/>
      <top style="thin">
        <color indexed="64"/>
      </top>
      <bottom style="mediumDashed">
        <color indexed="64"/>
      </bottom>
      <diagonal/>
    </border>
    <border>
      <left style="mediumDashed">
        <color indexed="64"/>
      </left>
      <right style="thin">
        <color indexed="64"/>
      </right>
      <top style="thin">
        <color indexed="64"/>
      </top>
      <bottom style="mediumDashed">
        <color indexed="64"/>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777">
    <xf numFmtId="0" fontId="0" fillId="0" borderId="0" xfId="0"/>
    <xf numFmtId="0" fontId="0" fillId="0" borderId="0" xfId="0" applyAlignment="1">
      <alignment horizontal="center"/>
    </xf>
    <xf numFmtId="0" fontId="0" fillId="0" borderId="0" xfId="0" applyAlignment="1">
      <alignment horizontal="left"/>
    </xf>
    <xf numFmtId="0" fontId="0" fillId="0" borderId="1" xfId="0" applyBorder="1" applyAlignment="1">
      <alignment horizontal="center"/>
    </xf>
    <xf numFmtId="164" fontId="0" fillId="0" borderId="1" xfId="0" applyNumberFormat="1" applyBorder="1" applyAlignment="1">
      <alignment horizontal="center"/>
    </xf>
    <xf numFmtId="0" fontId="0" fillId="2" borderId="1" xfId="0" applyFill="1" applyBorder="1" applyAlignment="1">
      <alignment horizontal="center"/>
    </xf>
    <xf numFmtId="0" fontId="0" fillId="2" borderId="6" xfId="0" applyFill="1" applyBorder="1" applyAlignment="1">
      <alignment horizontal="center"/>
    </xf>
    <xf numFmtId="0" fontId="0" fillId="0" borderId="9" xfId="0" applyBorder="1" applyAlignment="1">
      <alignment horizontal="center"/>
    </xf>
    <xf numFmtId="0" fontId="0" fillId="2" borderId="7" xfId="0" applyFill="1" applyBorder="1" applyAlignment="1">
      <alignment horizontal="center"/>
    </xf>
    <xf numFmtId="0" fontId="0" fillId="2" borderId="8" xfId="0" applyFill="1" applyBorder="1"/>
    <xf numFmtId="0" fontId="0" fillId="2" borderId="8" xfId="0" applyFill="1" applyBorder="1" applyAlignment="1">
      <alignment horizontal="center"/>
    </xf>
    <xf numFmtId="0" fontId="0" fillId="0" borderId="17" xfId="0" applyBorder="1" applyAlignment="1">
      <alignment horizontal="center"/>
    </xf>
    <xf numFmtId="0" fontId="0" fillId="2" borderId="11" xfId="0" applyFill="1" applyBorder="1" applyAlignment="1">
      <alignment horizontal="center"/>
    </xf>
    <xf numFmtId="164" fontId="0" fillId="2" borderId="11" xfId="0" applyNumberFormat="1" applyFill="1" applyBorder="1" applyAlignment="1">
      <alignment horizontal="center"/>
    </xf>
    <xf numFmtId="164" fontId="0" fillId="0" borderId="12" xfId="0" applyNumberFormat="1" applyBorder="1" applyAlignment="1">
      <alignment horizontal="center"/>
    </xf>
    <xf numFmtId="0" fontId="0" fillId="0" borderId="12" xfId="0" applyBorder="1" applyAlignment="1">
      <alignment horizontal="center"/>
    </xf>
    <xf numFmtId="0" fontId="0" fillId="0" borderId="8" xfId="0" applyBorder="1" applyAlignment="1">
      <alignment horizontal="center"/>
    </xf>
    <xf numFmtId="49" fontId="0" fillId="0" borderId="0" xfId="0" applyNumberFormat="1" applyAlignment="1">
      <alignment horizontal="center"/>
    </xf>
    <xf numFmtId="0" fontId="0" fillId="0" borderId="5" xfId="0" applyBorder="1"/>
    <xf numFmtId="0" fontId="0" fillId="0" borderId="6" xfId="0" applyBorder="1"/>
    <xf numFmtId="0" fontId="0" fillId="0" borderId="7" xfId="0" applyBorder="1"/>
    <xf numFmtId="0" fontId="0" fillId="0" borderId="8" xfId="0" applyBorder="1"/>
    <xf numFmtId="0" fontId="0" fillId="0" borderId="17" xfId="0" applyBorder="1"/>
    <xf numFmtId="0" fontId="0" fillId="0" borderId="10" xfId="0" applyBorder="1"/>
    <xf numFmtId="0" fontId="0" fillId="0" borderId="11" xfId="0" applyBorder="1" applyAlignment="1">
      <alignment horizontal="center"/>
    </xf>
    <xf numFmtId="0" fontId="0" fillId="0" borderId="21" xfId="0" applyBorder="1" applyAlignment="1">
      <alignment horizontal="center"/>
    </xf>
    <xf numFmtId="164" fontId="0" fillId="0" borderId="0" xfId="0" applyNumberFormat="1" applyAlignment="1">
      <alignment horizontal="center"/>
    </xf>
    <xf numFmtId="164" fontId="0" fillId="0" borderId="11" xfId="0" applyNumberFormat="1" applyBorder="1" applyAlignment="1">
      <alignment horizontal="center"/>
    </xf>
    <xf numFmtId="9" fontId="0" fillId="0" borderId="0" xfId="1" applyFont="1" applyBorder="1" applyAlignment="1">
      <alignment horizontal="center"/>
    </xf>
    <xf numFmtId="0" fontId="0" fillId="0" borderId="17" xfId="0" applyBorder="1" applyAlignment="1">
      <alignment wrapText="1"/>
    </xf>
    <xf numFmtId="9" fontId="0" fillId="0" borderId="11" xfId="1" applyFont="1" applyBorder="1" applyAlignment="1">
      <alignment horizontal="center"/>
    </xf>
    <xf numFmtId="0" fontId="0" fillId="0" borderId="21" xfId="0" applyBorder="1" applyAlignment="1">
      <alignment wrapText="1"/>
    </xf>
    <xf numFmtId="164" fontId="0" fillId="0" borderId="17" xfId="0" applyNumberFormat="1" applyBorder="1" applyAlignment="1">
      <alignment horizontal="center"/>
    </xf>
    <xf numFmtId="0" fontId="0" fillId="0" borderId="10" xfId="0" applyBorder="1" applyAlignment="1">
      <alignment horizontal="center"/>
    </xf>
    <xf numFmtId="164" fontId="0" fillId="0" borderId="21" xfId="0" applyNumberFormat="1" applyBorder="1" applyAlignment="1">
      <alignment horizontal="center"/>
    </xf>
    <xf numFmtId="165" fontId="0" fillId="0" borderId="17" xfId="0" applyNumberFormat="1" applyBorder="1" applyAlignment="1">
      <alignment horizontal="center"/>
    </xf>
    <xf numFmtId="165" fontId="0" fillId="0" borderId="21" xfId="0" applyNumberFormat="1" applyBorder="1" applyAlignment="1">
      <alignment horizontal="center"/>
    </xf>
    <xf numFmtId="0" fontId="0" fillId="0" borderId="21" xfId="0" applyBorder="1"/>
    <xf numFmtId="0" fontId="0" fillId="0" borderId="7" xfId="0" applyBorder="1" applyAlignment="1">
      <alignment horizontal="center"/>
    </xf>
    <xf numFmtId="0" fontId="0" fillId="2" borderId="0" xfId="0" applyFill="1"/>
    <xf numFmtId="0" fontId="4" fillId="2" borderId="0" xfId="0" applyFont="1" applyFill="1" applyAlignment="1">
      <alignment horizontal="center"/>
    </xf>
    <xf numFmtId="0" fontId="2" fillId="2" borderId="0" xfId="0" applyFont="1" applyFill="1" applyAlignment="1">
      <alignment horizontal="center"/>
    </xf>
    <xf numFmtId="1" fontId="0" fillId="2" borderId="0" xfId="0" applyNumberFormat="1" applyFill="1" applyAlignment="1">
      <alignment horizontal="center"/>
    </xf>
    <xf numFmtId="0" fontId="4" fillId="0" borderId="0" xfId="0" applyFont="1" applyAlignment="1">
      <alignment horizontal="center"/>
    </xf>
    <xf numFmtId="0" fontId="0" fillId="0" borderId="0" xfId="0" quotePrefix="1" applyAlignment="1">
      <alignment horizontal="center"/>
    </xf>
    <xf numFmtId="0" fontId="0" fillId="0" borderId="11" xfId="0" applyBorder="1"/>
    <xf numFmtId="0" fontId="0" fillId="4" borderId="0" xfId="0" applyFill="1" applyAlignment="1">
      <alignment horizontal="center"/>
    </xf>
    <xf numFmtId="0" fontId="6" fillId="0" borderId="0" xfId="0" applyFont="1" applyAlignment="1">
      <alignment horizontal="left"/>
    </xf>
    <xf numFmtId="0" fontId="0" fillId="4" borderId="0" xfId="0" applyFill="1"/>
    <xf numFmtId="0" fontId="0" fillId="4" borderId="11" xfId="0" applyFill="1" applyBorder="1"/>
    <xf numFmtId="1" fontId="4" fillId="2" borderId="0" xfId="0" applyNumberFormat="1" applyFont="1" applyFill="1" applyAlignment="1">
      <alignment horizontal="center"/>
    </xf>
    <xf numFmtId="164" fontId="0" fillId="0" borderId="0" xfId="0" applyNumberFormat="1"/>
    <xf numFmtId="164" fontId="0" fillId="0" borderId="0" xfId="1" applyNumberFormat="1" applyFont="1"/>
    <xf numFmtId="9" fontId="0" fillId="0" borderId="6" xfId="1" applyFont="1" applyBorder="1"/>
    <xf numFmtId="0" fontId="0" fillId="0" borderId="6" xfId="1" applyNumberFormat="1" applyFont="1" applyBorder="1"/>
    <xf numFmtId="164" fontId="0" fillId="0" borderId="6" xfId="1" applyNumberFormat="1" applyFont="1" applyBorder="1"/>
    <xf numFmtId="9" fontId="0" fillId="0" borderId="0" xfId="1" applyFont="1" applyBorder="1"/>
    <xf numFmtId="0" fontId="0" fillId="0" borderId="0" xfId="1" applyNumberFormat="1" applyFont="1" applyBorder="1"/>
    <xf numFmtId="164" fontId="0" fillId="0" borderId="0" xfId="1" applyNumberFormat="1" applyFont="1" applyBorder="1"/>
    <xf numFmtId="9" fontId="0" fillId="0" borderId="11" xfId="1" applyFont="1" applyBorder="1"/>
    <xf numFmtId="0" fontId="0" fillId="0" borderId="11" xfId="1" applyNumberFormat="1" applyFont="1" applyBorder="1"/>
    <xf numFmtId="164" fontId="0" fillId="0" borderId="11" xfId="0" applyNumberFormat="1" applyBorder="1"/>
    <xf numFmtId="164" fontId="0" fillId="0" borderId="11" xfId="1" applyNumberFormat="1" applyFont="1" applyBorder="1"/>
    <xf numFmtId="0" fontId="0" fillId="2" borderId="10" xfId="0" applyFill="1" applyBorder="1" applyAlignment="1">
      <alignment horizontal="center"/>
    </xf>
    <xf numFmtId="0" fontId="0" fillId="0" borderId="40" xfId="0" applyBorder="1"/>
    <xf numFmtId="0" fontId="0" fillId="0" borderId="41" xfId="0" applyBorder="1"/>
    <xf numFmtId="0" fontId="0" fillId="0" borderId="42" xfId="0" applyBorder="1"/>
    <xf numFmtId="1" fontId="4" fillId="0" borderId="0" xfId="0" applyNumberFormat="1" applyFont="1" applyAlignment="1">
      <alignment horizontal="center"/>
    </xf>
    <xf numFmtId="0" fontId="0" fillId="3" borderId="7" xfId="0" applyFill="1" applyBorder="1" applyAlignment="1">
      <alignment horizontal="center"/>
    </xf>
    <xf numFmtId="0" fontId="0" fillId="2" borderId="12" xfId="0" applyFill="1" applyBorder="1" applyAlignment="1">
      <alignment horizontal="center"/>
    </xf>
    <xf numFmtId="0" fontId="0" fillId="2" borderId="4" xfId="0" applyFill="1" applyBorder="1" applyAlignment="1">
      <alignment horizontal="center"/>
    </xf>
    <xf numFmtId="0" fontId="2" fillId="2" borderId="6" xfId="0" applyFont="1" applyFill="1" applyBorder="1" applyAlignment="1">
      <alignment horizontal="center"/>
    </xf>
    <xf numFmtId="0" fontId="0" fillId="2" borderId="11" xfId="0" applyFill="1" applyBorder="1"/>
    <xf numFmtId="164" fontId="0" fillId="0" borderId="9" xfId="0" applyNumberFormat="1" applyBorder="1" applyAlignment="1">
      <alignment horizontal="center"/>
    </xf>
    <xf numFmtId="0" fontId="0" fillId="2" borderId="0" xfId="0" applyFill="1" applyAlignment="1">
      <alignment horizontal="center"/>
    </xf>
    <xf numFmtId="168" fontId="0" fillId="2" borderId="23" xfId="0" applyNumberFormat="1" applyFill="1" applyBorder="1" applyAlignment="1">
      <alignment horizontal="center"/>
    </xf>
    <xf numFmtId="49" fontId="0" fillId="0" borderId="5" xfId="0" applyNumberFormat="1" applyBorder="1" applyAlignment="1">
      <alignment horizontal="left"/>
    </xf>
    <xf numFmtId="2" fontId="0" fillId="0" borderId="17" xfId="0" applyNumberFormat="1" applyBorder="1"/>
    <xf numFmtId="2" fontId="0" fillId="0" borderId="21" xfId="0" applyNumberFormat="1" applyBorder="1"/>
    <xf numFmtId="164" fontId="0" fillId="0" borderId="13" xfId="0" applyNumberFormat="1" applyBorder="1" applyAlignment="1">
      <alignment horizontal="center"/>
    </xf>
    <xf numFmtId="0" fontId="0" fillId="0" borderId="13" xfId="0" applyBorder="1" applyAlignment="1">
      <alignment horizontal="center"/>
    </xf>
    <xf numFmtId="0" fontId="0" fillId="0" borderId="4" xfId="0" applyBorder="1" applyAlignment="1">
      <alignment horizontal="center"/>
    </xf>
    <xf numFmtId="0" fontId="0" fillId="0" borderId="14" xfId="0" applyBorder="1" applyAlignment="1">
      <alignment horizontal="center"/>
    </xf>
    <xf numFmtId="0" fontId="0" fillId="0" borderId="6" xfId="0" applyBorder="1" applyAlignment="1">
      <alignment horizontal="center"/>
    </xf>
    <xf numFmtId="0" fontId="0" fillId="2" borderId="19" xfId="0" applyFill="1" applyBorder="1" applyAlignment="1">
      <alignment horizontal="center"/>
    </xf>
    <xf numFmtId="0" fontId="0" fillId="2" borderId="20" xfId="0" applyFill="1" applyBorder="1" applyAlignment="1">
      <alignment horizontal="center"/>
    </xf>
    <xf numFmtId="167" fontId="0" fillId="0" borderId="11" xfId="0" applyNumberFormat="1" applyBorder="1" applyAlignment="1">
      <alignment horizontal="center"/>
    </xf>
    <xf numFmtId="0" fontId="0" fillId="0" borderId="11" xfId="0" quotePrefix="1" applyBorder="1" applyAlignment="1">
      <alignment horizontal="center"/>
    </xf>
    <xf numFmtId="0" fontId="2" fillId="2" borderId="6" xfId="0" applyFont="1" applyFill="1" applyBorder="1"/>
    <xf numFmtId="0" fontId="2" fillId="2" borderId="7" xfId="0" applyFont="1" applyFill="1" applyBorder="1"/>
    <xf numFmtId="0" fontId="2" fillId="2" borderId="8" xfId="0" applyFont="1" applyFill="1" applyBorder="1" applyAlignment="1">
      <alignment horizontal="center"/>
    </xf>
    <xf numFmtId="0" fontId="0" fillId="2" borderId="65" xfId="0" applyFill="1" applyBorder="1" applyAlignment="1">
      <alignment horizontal="center"/>
    </xf>
    <xf numFmtId="0" fontId="0" fillId="0" borderId="65" xfId="0" applyBorder="1" applyAlignment="1">
      <alignment horizontal="center"/>
    </xf>
    <xf numFmtId="164" fontId="0" fillId="0" borderId="65" xfId="0" applyNumberFormat="1" applyBorder="1" applyAlignment="1">
      <alignment horizontal="center"/>
    </xf>
    <xf numFmtId="0" fontId="0" fillId="0" borderId="64" xfId="0" applyBorder="1" applyAlignment="1">
      <alignment horizontal="center"/>
    </xf>
    <xf numFmtId="0" fontId="2" fillId="2" borderId="7" xfId="0" applyFont="1" applyFill="1" applyBorder="1" applyAlignment="1">
      <alignment horizontal="center"/>
    </xf>
    <xf numFmtId="0" fontId="2" fillId="2" borderId="6" xfId="0" applyFont="1" applyFill="1" applyBorder="1" applyAlignment="1">
      <alignment horizontal="left"/>
    </xf>
    <xf numFmtId="0" fontId="0" fillId="2" borderId="17" xfId="0" applyFill="1" applyBorder="1" applyAlignment="1">
      <alignment horizontal="center"/>
    </xf>
    <xf numFmtId="0" fontId="0" fillId="2" borderId="8" xfId="0" quotePrefix="1" applyFill="1" applyBorder="1" applyAlignment="1">
      <alignment horizontal="center"/>
    </xf>
    <xf numFmtId="167" fontId="0" fillId="0" borderId="0" xfId="0" applyNumberFormat="1" applyAlignment="1">
      <alignment horizontal="center"/>
    </xf>
    <xf numFmtId="0" fontId="2" fillId="2" borderId="0" xfId="0" applyFont="1" applyFill="1"/>
    <xf numFmtId="0" fontId="2" fillId="2" borderId="11" xfId="0" applyFont="1" applyFill="1" applyBorder="1" applyAlignment="1">
      <alignment horizontal="left" vertical="center"/>
    </xf>
    <xf numFmtId="164" fontId="0" fillId="2" borderId="19" xfId="0" applyNumberFormat="1" applyFill="1" applyBorder="1" applyAlignment="1">
      <alignment horizontal="center"/>
    </xf>
    <xf numFmtId="164" fontId="0" fillId="2" borderId="1" xfId="0" applyNumberFormat="1" applyFill="1" applyBorder="1" applyAlignment="1">
      <alignment horizontal="center"/>
    </xf>
    <xf numFmtId="164" fontId="0" fillId="2" borderId="12" xfId="0" applyNumberFormat="1" applyFill="1" applyBorder="1" applyAlignment="1">
      <alignment horizontal="center"/>
    </xf>
    <xf numFmtId="164" fontId="0" fillId="2" borderId="38" xfId="0" applyNumberFormat="1" applyFill="1" applyBorder="1" applyAlignment="1">
      <alignment horizontal="center"/>
    </xf>
    <xf numFmtId="164" fontId="0" fillId="2" borderId="26" xfId="0" applyNumberFormat="1" applyFill="1" applyBorder="1" applyAlignment="1">
      <alignment horizontal="center"/>
    </xf>
    <xf numFmtId="164" fontId="0" fillId="2" borderId="24" xfId="0" applyNumberFormat="1" applyFill="1" applyBorder="1" applyAlignment="1">
      <alignment horizontal="center"/>
    </xf>
    <xf numFmtId="164" fontId="0" fillId="2" borderId="9" xfId="0" applyNumberFormat="1" applyFill="1" applyBorder="1" applyAlignment="1">
      <alignment horizontal="center"/>
    </xf>
    <xf numFmtId="164" fontId="0" fillId="2" borderId="13" xfId="0" applyNumberFormat="1" applyFill="1" applyBorder="1" applyAlignment="1">
      <alignment horizontal="center"/>
    </xf>
    <xf numFmtId="164" fontId="0" fillId="2" borderId="0" xfId="0" applyNumberFormat="1" applyFill="1" applyAlignment="1">
      <alignment horizontal="center"/>
    </xf>
    <xf numFmtId="167" fontId="0" fillId="2" borderId="21" xfId="0" applyNumberFormat="1" applyFill="1" applyBorder="1" applyAlignment="1">
      <alignment horizontal="center"/>
    </xf>
    <xf numFmtId="167" fontId="0" fillId="2" borderId="7" xfId="0" applyNumberFormat="1" applyFill="1" applyBorder="1" applyAlignment="1">
      <alignment horizontal="center"/>
    </xf>
    <xf numFmtId="167" fontId="0" fillId="2" borderId="17" xfId="0" applyNumberFormat="1" applyFill="1" applyBorder="1" applyAlignment="1">
      <alignment horizontal="center"/>
    </xf>
    <xf numFmtId="165" fontId="0" fillId="2" borderId="1" xfId="0" applyNumberFormat="1" applyFill="1" applyBorder="1" applyAlignment="1">
      <alignment horizontal="center"/>
    </xf>
    <xf numFmtId="165" fontId="0" fillId="2" borderId="9" xfId="0" applyNumberFormat="1" applyFill="1" applyBorder="1" applyAlignment="1">
      <alignment horizontal="center"/>
    </xf>
    <xf numFmtId="165" fontId="0" fillId="2" borderId="13" xfId="0" applyNumberFormat="1" applyFill="1" applyBorder="1" applyAlignment="1">
      <alignment horizontal="center"/>
    </xf>
    <xf numFmtId="164" fontId="4" fillId="2" borderId="12" xfId="0" applyNumberFormat="1" applyFont="1" applyFill="1" applyBorder="1" applyAlignment="1">
      <alignment horizontal="center"/>
    </xf>
    <xf numFmtId="0" fontId="2" fillId="2" borderId="29" xfId="0" applyFont="1" applyFill="1" applyBorder="1"/>
    <xf numFmtId="0" fontId="2" fillId="2" borderId="30" xfId="0" applyFont="1" applyFill="1" applyBorder="1" applyAlignment="1">
      <alignment horizontal="center"/>
    </xf>
    <xf numFmtId="0" fontId="4" fillId="2" borderId="30" xfId="0" applyFont="1" applyFill="1" applyBorder="1" applyAlignment="1">
      <alignment horizontal="center"/>
    </xf>
    <xf numFmtId="0" fontId="2" fillId="2" borderId="30" xfId="0" applyFont="1" applyFill="1" applyBorder="1"/>
    <xf numFmtId="0" fontId="2" fillId="2" borderId="30" xfId="0" applyFont="1" applyFill="1" applyBorder="1" applyAlignment="1">
      <alignment horizontal="center" wrapText="1"/>
    </xf>
    <xf numFmtId="0" fontId="2" fillId="2" borderId="31" xfId="0" applyFont="1" applyFill="1" applyBorder="1" applyAlignment="1">
      <alignment horizontal="center" wrapText="1"/>
    </xf>
    <xf numFmtId="0" fontId="4" fillId="2" borderId="0" xfId="0" applyFont="1" applyFill="1"/>
    <xf numFmtId="164" fontId="0" fillId="2" borderId="17" xfId="0" applyNumberFormat="1" applyFill="1" applyBorder="1" applyAlignment="1">
      <alignment horizontal="center"/>
    </xf>
    <xf numFmtId="164" fontId="0" fillId="2" borderId="21" xfId="0" applyNumberFormat="1" applyFill="1" applyBorder="1" applyAlignment="1">
      <alignment horizontal="center"/>
    </xf>
    <xf numFmtId="0" fontId="0" fillId="0" borderId="17" xfId="0" applyBorder="1" applyAlignment="1">
      <alignment horizontal="left"/>
    </xf>
    <xf numFmtId="0" fontId="0" fillId="0" borderId="8" xfId="0" applyBorder="1" applyAlignment="1">
      <alignment horizontal="left"/>
    </xf>
    <xf numFmtId="0" fontId="0" fillId="0" borderId="10" xfId="0" applyBorder="1" applyAlignment="1">
      <alignment horizontal="left"/>
    </xf>
    <xf numFmtId="0" fontId="0" fillId="0" borderId="11" xfId="0" applyBorder="1" applyAlignment="1">
      <alignment horizontal="left"/>
    </xf>
    <xf numFmtId="0" fontId="2" fillId="2" borderId="17" xfId="0" applyFont="1" applyFill="1" applyBorder="1" applyAlignment="1">
      <alignment horizontal="center"/>
    </xf>
    <xf numFmtId="0" fontId="0" fillId="0" borderId="5" xfId="0" applyBorder="1" applyAlignment="1">
      <alignment horizontal="left"/>
    </xf>
    <xf numFmtId="0" fontId="0" fillId="0" borderId="6" xfId="0" applyBorder="1" applyAlignment="1">
      <alignment horizontal="left"/>
    </xf>
    <xf numFmtId="0" fontId="0" fillId="0" borderId="51" xfId="0" applyBorder="1" applyAlignment="1">
      <alignment horizontal="center"/>
    </xf>
    <xf numFmtId="0" fontId="0" fillId="0" borderId="24" xfId="0" applyBorder="1" applyAlignment="1">
      <alignment horizontal="center"/>
    </xf>
    <xf numFmtId="0" fontId="0" fillId="0" borderId="0" xfId="0" applyAlignment="1">
      <alignment horizontal="right"/>
    </xf>
    <xf numFmtId="0" fontId="2" fillId="3" borderId="5" xfId="0" applyFont="1" applyFill="1" applyBorder="1" applyAlignment="1">
      <alignment horizontal="center"/>
    </xf>
    <xf numFmtId="0" fontId="2" fillId="3" borderId="0" xfId="0" applyFont="1" applyFill="1" applyAlignment="1">
      <alignment horizontal="center"/>
    </xf>
    <xf numFmtId="0" fontId="0" fillId="3" borderId="0" xfId="0" applyFill="1"/>
    <xf numFmtId="0" fontId="2" fillId="3" borderId="6" xfId="0" applyFont="1" applyFill="1" applyBorder="1" applyAlignment="1">
      <alignment horizontal="center"/>
    </xf>
    <xf numFmtId="0" fontId="0" fillId="3" borderId="6" xfId="0" quotePrefix="1" applyFill="1" applyBorder="1" applyAlignment="1">
      <alignment horizontal="center"/>
    </xf>
    <xf numFmtId="0" fontId="0" fillId="3" borderId="6" xfId="0" applyFill="1" applyBorder="1" applyAlignment="1">
      <alignment horizontal="center"/>
    </xf>
    <xf numFmtId="0" fontId="0" fillId="3" borderId="7" xfId="0" applyFill="1" applyBorder="1"/>
    <xf numFmtId="0" fontId="0" fillId="3" borderId="17" xfId="0" applyFill="1" applyBorder="1"/>
    <xf numFmtId="0" fontId="0" fillId="3" borderId="21" xfId="0" applyFill="1" applyBorder="1"/>
    <xf numFmtId="0" fontId="2" fillId="0" borderId="0" xfId="0" applyFont="1" applyAlignment="1">
      <alignment horizontal="center"/>
    </xf>
    <xf numFmtId="0" fontId="2" fillId="0" borderId="0" xfId="0" applyFont="1"/>
    <xf numFmtId="0" fontId="2" fillId="0" borderId="8" xfId="0" applyFont="1" applyBorder="1"/>
    <xf numFmtId="0" fontId="2" fillId="0" borderId="0" xfId="0" applyFont="1" applyAlignment="1">
      <alignment horizontal="center" textRotation="90"/>
    </xf>
    <xf numFmtId="0" fontId="2" fillId="0" borderId="17" xfId="0" applyFont="1" applyBorder="1" applyAlignment="1">
      <alignment horizontal="center" textRotation="90"/>
    </xf>
    <xf numFmtId="0" fontId="2" fillId="0" borderId="17" xfId="0" applyFont="1" applyBorder="1" applyAlignment="1">
      <alignment textRotation="90"/>
    </xf>
    <xf numFmtId="0" fontId="2" fillId="0" borderId="17" xfId="0" applyFont="1" applyBorder="1" applyAlignment="1">
      <alignment horizontal="center"/>
    </xf>
    <xf numFmtId="0" fontId="2" fillId="0" borderId="8" xfId="0" applyFont="1" applyBorder="1" applyAlignment="1">
      <alignment horizontal="center"/>
    </xf>
    <xf numFmtId="0" fontId="2" fillId="0" borderId="17" xfId="0" applyFont="1" applyBorder="1"/>
    <xf numFmtId="49" fontId="2" fillId="0" borderId="0" xfId="0" applyNumberFormat="1" applyFont="1" applyAlignment="1">
      <alignment horizontal="left"/>
    </xf>
    <xf numFmtId="0" fontId="2" fillId="0" borderId="0" xfId="0" applyFont="1" applyAlignment="1">
      <alignment horizontal="center" vertical="center"/>
    </xf>
    <xf numFmtId="165" fontId="0" fillId="0" borderId="0" xfId="0" applyNumberForma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0" fillId="0" borderId="8" xfId="0" applyBorder="1" applyAlignment="1">
      <alignment horizontal="center" vertical="center"/>
    </xf>
    <xf numFmtId="0" fontId="0" fillId="0" borderId="17" xfId="0" applyBorder="1" applyAlignment="1">
      <alignment horizontal="center" vertical="center"/>
    </xf>
    <xf numFmtId="0" fontId="0" fillId="0" borderId="10" xfId="0" applyBorder="1" applyAlignment="1">
      <alignment horizontal="center" vertical="center"/>
    </xf>
    <xf numFmtId="0" fontId="18" fillId="3" borderId="8" xfId="0" applyFont="1" applyFill="1" applyBorder="1" applyAlignment="1">
      <alignment horizontal="center" vertical="center" textRotation="90"/>
    </xf>
    <xf numFmtId="165" fontId="0" fillId="0" borderId="11" xfId="0" applyNumberFormat="1" applyBorder="1" applyAlignment="1">
      <alignment horizontal="center" vertical="center"/>
    </xf>
    <xf numFmtId="165" fontId="0" fillId="0" borderId="0" xfId="0" applyNumberFormat="1"/>
    <xf numFmtId="165" fontId="0" fillId="0" borderId="17" xfId="0" applyNumberFormat="1" applyBorder="1" applyAlignment="1">
      <alignment horizontal="center" vertical="center"/>
    </xf>
    <xf numFmtId="165" fontId="0" fillId="0" borderId="11" xfId="0" applyNumberFormat="1" applyBorder="1"/>
    <xf numFmtId="165" fontId="0" fillId="0" borderId="21" xfId="0" applyNumberFormat="1" applyBorder="1" applyAlignment="1">
      <alignment horizontal="center" vertical="center"/>
    </xf>
    <xf numFmtId="0" fontId="9" fillId="3" borderId="0" xfId="0" applyFont="1" applyFill="1" applyAlignment="1">
      <alignment horizontal="center" vertical="center"/>
    </xf>
    <xf numFmtId="0" fontId="19" fillId="3" borderId="5" xfId="0" applyFont="1" applyFill="1" applyBorder="1"/>
    <xf numFmtId="0" fontId="0" fillId="3" borderId="6" xfId="0" applyFill="1" applyBorder="1"/>
    <xf numFmtId="0" fontId="0" fillId="3" borderId="79" xfId="0" applyFill="1" applyBorder="1"/>
    <xf numFmtId="165" fontId="0" fillId="0" borderId="77" xfId="0" applyNumberFormat="1" applyBorder="1" applyAlignment="1">
      <alignment horizontal="center"/>
    </xf>
    <xf numFmtId="0" fontId="0" fillId="0" borderId="73" xfId="0" applyBorder="1"/>
    <xf numFmtId="0" fontId="2" fillId="0" borderId="0" xfId="0" applyFont="1" applyAlignment="1">
      <alignment horizontal="left"/>
    </xf>
    <xf numFmtId="165" fontId="0" fillId="0" borderId="10" xfId="0" applyNumberFormat="1" applyBorder="1" applyAlignment="1">
      <alignment horizontal="center"/>
    </xf>
    <xf numFmtId="165" fontId="0" fillId="0" borderId="11" xfId="0" applyNumberFormat="1" applyBorder="1" applyAlignment="1">
      <alignment horizontal="center"/>
    </xf>
    <xf numFmtId="0" fontId="0" fillId="3" borderId="8" xfId="0" applyFill="1" applyBorder="1"/>
    <xf numFmtId="0" fontId="0" fillId="3" borderId="82" xfId="0" applyFill="1" applyBorder="1"/>
    <xf numFmtId="0" fontId="13" fillId="0" borderId="40" xfId="0" applyFont="1" applyBorder="1" applyAlignment="1">
      <alignment horizontal="center" vertical="center"/>
    </xf>
    <xf numFmtId="0" fontId="13" fillId="0" borderId="41" xfId="0" applyFont="1" applyBorder="1" applyAlignment="1">
      <alignment horizontal="center" vertical="center"/>
    </xf>
    <xf numFmtId="0" fontId="13" fillId="0" borderId="42" xfId="0" applyFont="1" applyBorder="1" applyAlignment="1">
      <alignment horizontal="center" vertical="center"/>
    </xf>
    <xf numFmtId="0" fontId="15" fillId="0" borderId="40" xfId="0" applyFont="1" applyBorder="1"/>
    <xf numFmtId="0" fontId="15" fillId="0" borderId="41" xfId="0" applyFont="1" applyBorder="1"/>
    <xf numFmtId="0" fontId="15" fillId="0" borderId="83" xfId="0" applyFont="1" applyBorder="1"/>
    <xf numFmtId="0" fontId="15" fillId="0" borderId="84" xfId="0" applyFont="1" applyBorder="1"/>
    <xf numFmtId="0" fontId="15" fillId="0" borderId="42" xfId="0" applyFont="1" applyBorder="1"/>
    <xf numFmtId="0" fontId="19" fillId="3" borderId="6" xfId="0" applyFont="1" applyFill="1" applyBorder="1"/>
    <xf numFmtId="0" fontId="19" fillId="3" borderId="7" xfId="0" applyFont="1" applyFill="1" applyBorder="1"/>
    <xf numFmtId="0" fontId="0" fillId="2" borderId="0" xfId="0" applyFill="1" applyAlignment="1">
      <alignment horizontal="right"/>
    </xf>
    <xf numFmtId="0" fontId="0" fillId="2" borderId="17" xfId="0" applyFill="1" applyBorder="1"/>
    <xf numFmtId="0" fontId="2" fillId="2" borderId="85" xfId="0" applyFont="1" applyFill="1" applyBorder="1" applyAlignment="1">
      <alignment horizontal="left"/>
    </xf>
    <xf numFmtId="0" fontId="2" fillId="2" borderId="86" xfId="0" applyFont="1" applyFill="1" applyBorder="1" applyAlignment="1">
      <alignment horizontal="left"/>
    </xf>
    <xf numFmtId="0" fontId="6" fillId="0" borderId="73" xfId="0" applyFont="1" applyBorder="1" applyAlignment="1">
      <alignment horizontal="left"/>
    </xf>
    <xf numFmtId="0" fontId="6" fillId="4" borderId="71" xfId="0" applyFont="1" applyFill="1" applyBorder="1" applyAlignment="1">
      <alignment horizontal="left"/>
    </xf>
    <xf numFmtId="0" fontId="6" fillId="4" borderId="73" xfId="0" applyFont="1" applyFill="1" applyBorder="1" applyAlignment="1">
      <alignment horizontal="left"/>
    </xf>
    <xf numFmtId="0" fontId="0" fillId="2" borderId="71" xfId="0" applyFill="1" applyBorder="1" applyAlignment="1">
      <alignment horizontal="center"/>
    </xf>
    <xf numFmtId="0" fontId="6" fillId="0" borderId="71" xfId="0" applyFont="1" applyBorder="1" applyAlignment="1">
      <alignment horizontal="left"/>
    </xf>
    <xf numFmtId="0" fontId="6" fillId="4" borderId="71" xfId="0" applyFont="1" applyFill="1" applyBorder="1" applyAlignment="1">
      <alignment horizontal="left" vertical="center"/>
    </xf>
    <xf numFmtId="0" fontId="6" fillId="4" borderId="76" xfId="0" applyFont="1" applyFill="1" applyBorder="1" applyAlignment="1">
      <alignment horizontal="left"/>
    </xf>
    <xf numFmtId="0" fontId="6" fillId="0" borderId="74" xfId="0" applyFont="1" applyBorder="1" applyAlignment="1">
      <alignment horizontal="left"/>
    </xf>
    <xf numFmtId="0" fontId="6" fillId="0" borderId="76" xfId="0" applyFont="1" applyBorder="1" applyAlignment="1">
      <alignment horizontal="left"/>
    </xf>
    <xf numFmtId="0" fontId="6" fillId="4" borderId="74" xfId="0" applyFont="1" applyFill="1" applyBorder="1" applyAlignment="1">
      <alignment horizontal="left"/>
    </xf>
    <xf numFmtId="0" fontId="2" fillId="0" borderId="6" xfId="0" applyFont="1" applyBorder="1" applyAlignment="1">
      <alignment horizontal="center"/>
    </xf>
    <xf numFmtId="0" fontId="2" fillId="0" borderId="7" xfId="0" applyFont="1" applyBorder="1" applyAlignment="1">
      <alignment horizontal="center"/>
    </xf>
    <xf numFmtId="0" fontId="0" fillId="0" borderId="17" xfId="0" applyBorder="1" applyAlignment="1">
      <alignment horizontal="center"/>
      <extLst>
        <ext xmlns:xfpb="http://schemas.microsoft.com/office/spreadsheetml/2022/featurepropertybag" uri="{C7286773-470A-42A8-94C5-96B5CB345126}">
          <xfpb:xfComplement i="0"/>
        </ext>
      </extLst>
    </xf>
    <xf numFmtId="0" fontId="0" fillId="0" borderId="21" xfId="0" applyBorder="1" applyAlignment="1">
      <alignment horizontal="center"/>
      <extLst>
        <ext xmlns:xfpb="http://schemas.microsoft.com/office/spreadsheetml/2022/featurepropertybag" uri="{C7286773-470A-42A8-94C5-96B5CB345126}">
          <xfpb:xfComplement i="0"/>
        </ext>
      </extLst>
    </xf>
    <xf numFmtId="0" fontId="0" fillId="2" borderId="0" xfId="0" applyFill="1" applyAlignment="1">
      <alignment horizontal="left"/>
    </xf>
    <xf numFmtId="0" fontId="0" fillId="0" borderId="3" xfId="0" applyBorder="1" applyAlignment="1">
      <alignment horizontal="center"/>
    </xf>
    <xf numFmtId="0" fontId="4" fillId="2" borderId="0" xfId="0" applyFont="1" applyFill="1" applyAlignment="1">
      <alignment horizontal="center" wrapText="1"/>
    </xf>
    <xf numFmtId="0" fontId="2" fillId="2" borderId="0" xfId="0" applyFont="1" applyFill="1" applyAlignment="1">
      <alignment horizontal="center" wrapText="1"/>
    </xf>
    <xf numFmtId="0" fontId="12" fillId="2" borderId="30" xfId="0" applyFont="1" applyFill="1" applyBorder="1" applyAlignment="1">
      <alignment horizontal="center" wrapText="1"/>
    </xf>
    <xf numFmtId="0" fontId="2" fillId="2" borderId="8" xfId="0" applyFont="1" applyFill="1" applyBorder="1"/>
    <xf numFmtId="0" fontId="2" fillId="2" borderId="17" xfId="0" applyFont="1" applyFill="1" applyBorder="1" applyAlignment="1">
      <alignment horizontal="center" wrapText="1"/>
    </xf>
    <xf numFmtId="0" fontId="0" fillId="0" borderId="26" xfId="0" applyBorder="1" applyAlignment="1">
      <alignment horizontal="center"/>
    </xf>
    <xf numFmtId="0" fontId="2" fillId="2" borderId="1" xfId="0" applyFont="1" applyFill="1" applyBorder="1"/>
    <xf numFmtId="0" fontId="2" fillId="2" borderId="1" xfId="0" applyFont="1" applyFill="1" applyBorder="1" applyAlignment="1">
      <alignment horizontal="center"/>
    </xf>
    <xf numFmtId="0" fontId="0" fillId="2" borderId="44" xfId="0" applyFill="1" applyBorder="1" applyAlignment="1">
      <alignment horizontal="center"/>
    </xf>
    <xf numFmtId="0" fontId="0" fillId="2" borderId="32" xfId="0" applyFill="1" applyBorder="1"/>
    <xf numFmtId="168" fontId="6" fillId="2" borderId="33" xfId="0" applyNumberFormat="1" applyFont="1" applyFill="1" applyBorder="1"/>
    <xf numFmtId="168" fontId="6" fillId="2" borderId="88" xfId="0" applyNumberFormat="1" applyFont="1" applyFill="1" applyBorder="1"/>
    <xf numFmtId="0" fontId="0" fillId="2" borderId="38" xfId="0" applyFill="1" applyBorder="1" applyAlignment="1">
      <alignment horizontal="center"/>
    </xf>
    <xf numFmtId="0" fontId="0" fillId="0" borderId="38" xfId="0" applyBorder="1" applyAlignment="1">
      <alignment horizontal="center"/>
    </xf>
    <xf numFmtId="0" fontId="2" fillId="2" borderId="15" xfId="0" applyFont="1" applyFill="1" applyBorder="1"/>
    <xf numFmtId="0" fontId="2" fillId="2" borderId="9" xfId="0" applyFont="1" applyFill="1" applyBorder="1" applyAlignment="1">
      <alignment horizontal="center"/>
    </xf>
    <xf numFmtId="0" fontId="22" fillId="2" borderId="30" xfId="0" applyFont="1" applyFill="1" applyBorder="1" applyAlignment="1">
      <alignment horizontal="center" wrapText="1"/>
    </xf>
    <xf numFmtId="0" fontId="0" fillId="0" borderId="7" xfId="0" applyBorder="1" applyAlignment="1">
      <alignment horizontal="left"/>
    </xf>
    <xf numFmtId="0" fontId="0" fillId="0" borderId="21" xfId="0" applyBorder="1" applyAlignment="1">
      <alignment horizontal="left"/>
    </xf>
    <xf numFmtId="1" fontId="0" fillId="0" borderId="0" xfId="0" applyNumberFormat="1"/>
    <xf numFmtId="0" fontId="6" fillId="0" borderId="5" xfId="0" applyFont="1" applyBorder="1" applyAlignment="1">
      <alignment horizontal="left"/>
    </xf>
    <xf numFmtId="0" fontId="6" fillId="0" borderId="6" xfId="0" applyFont="1" applyBorder="1" applyAlignment="1">
      <alignment horizontal="left"/>
    </xf>
    <xf numFmtId="1" fontId="4" fillId="0" borderId="17" xfId="0" applyNumberFormat="1" applyFont="1" applyBorder="1" applyAlignment="1">
      <alignment horizontal="center"/>
    </xf>
    <xf numFmtId="1" fontId="2" fillId="0" borderId="0" xfId="0" applyNumberFormat="1" applyFont="1" applyAlignment="1">
      <alignment horizontal="center"/>
    </xf>
    <xf numFmtId="1" fontId="2" fillId="0" borderId="17" xfId="0" applyNumberFormat="1" applyFont="1" applyBorder="1" applyAlignment="1">
      <alignment horizontal="center"/>
    </xf>
    <xf numFmtId="1" fontId="4" fillId="0" borderId="11" xfId="0" applyNumberFormat="1" applyFont="1" applyBorder="1" applyAlignment="1">
      <alignment horizontal="center"/>
    </xf>
    <xf numFmtId="1" fontId="4" fillId="0" borderId="21" xfId="0" applyNumberFormat="1" applyFont="1" applyBorder="1" applyAlignment="1">
      <alignment horizontal="center"/>
    </xf>
    <xf numFmtId="0" fontId="2" fillId="2" borderId="17" xfId="0" applyFont="1" applyFill="1" applyBorder="1"/>
    <xf numFmtId="166" fontId="0" fillId="0" borderId="50" xfId="1" applyNumberFormat="1" applyFont="1" applyBorder="1" applyAlignment="1">
      <alignment horizontal="center"/>
    </xf>
    <xf numFmtId="167" fontId="0" fillId="0" borderId="19" xfId="0" applyNumberFormat="1" applyBorder="1" applyAlignment="1">
      <alignment horizontal="center"/>
    </xf>
    <xf numFmtId="166" fontId="0" fillId="0" borderId="15" xfId="1" applyNumberFormat="1" applyFont="1" applyBorder="1" applyAlignment="1">
      <alignment horizontal="center"/>
    </xf>
    <xf numFmtId="167" fontId="0" fillId="0" borderId="1" xfId="0" applyNumberFormat="1" applyBorder="1" applyAlignment="1">
      <alignment horizontal="center"/>
    </xf>
    <xf numFmtId="166" fontId="0" fillId="0" borderId="16" xfId="1" applyNumberFormat="1" applyFont="1" applyBorder="1" applyAlignment="1">
      <alignment horizontal="center"/>
    </xf>
    <xf numFmtId="167" fontId="0" fillId="0" borderId="12" xfId="0" applyNumberFormat="1" applyBorder="1" applyAlignment="1">
      <alignment horizontal="center"/>
    </xf>
    <xf numFmtId="166" fontId="0" fillId="0" borderId="90" xfId="1" applyNumberFormat="1" applyFont="1" applyBorder="1" applyAlignment="1">
      <alignment horizontal="center"/>
    </xf>
    <xf numFmtId="167" fontId="0" fillId="0" borderId="89" xfId="0" applyNumberFormat="1" applyBorder="1" applyAlignment="1">
      <alignment horizontal="center"/>
    </xf>
    <xf numFmtId="0" fontId="0" fillId="0" borderId="47" xfId="0" quotePrefix="1" applyBorder="1" applyAlignment="1">
      <alignment horizontal="center"/>
    </xf>
    <xf numFmtId="164" fontId="0" fillId="2" borderId="14" xfId="0" applyNumberFormat="1" applyFill="1" applyBorder="1" applyAlignment="1">
      <alignment horizontal="center"/>
    </xf>
    <xf numFmtId="0" fontId="0" fillId="2" borderId="100" xfId="0" applyFill="1" applyBorder="1" applyAlignment="1">
      <alignment horizontal="center"/>
    </xf>
    <xf numFmtId="164" fontId="0" fillId="2" borderId="101" xfId="0" applyNumberFormat="1" applyFill="1" applyBorder="1" applyAlignment="1">
      <alignment horizontal="center"/>
    </xf>
    <xf numFmtId="0" fontId="0" fillId="2" borderId="103" xfId="0" applyFill="1" applyBorder="1" applyAlignment="1">
      <alignment horizontal="center"/>
    </xf>
    <xf numFmtId="164" fontId="0" fillId="2" borderId="104" xfId="0" applyNumberFormat="1" applyFill="1" applyBorder="1" applyAlignment="1">
      <alignment horizontal="center"/>
    </xf>
    <xf numFmtId="0" fontId="2" fillId="0" borderId="0" xfId="0" applyFont="1" applyAlignment="1">
      <alignment textRotation="90"/>
    </xf>
    <xf numFmtId="0" fontId="2" fillId="3" borderId="0" xfId="0" applyFont="1" applyFill="1" applyAlignment="1">
      <alignment textRotation="90"/>
    </xf>
    <xf numFmtId="49" fontId="0" fillId="0" borderId="17" xfId="0" applyNumberFormat="1" applyBorder="1" applyAlignment="1">
      <alignment horizontal="center"/>
    </xf>
    <xf numFmtId="0" fontId="2" fillId="0" borderId="5" xfId="0" applyFont="1" applyBorder="1"/>
    <xf numFmtId="0" fontId="2" fillId="0" borderId="6" xfId="0" applyFont="1" applyBorder="1"/>
    <xf numFmtId="0" fontId="2" fillId="0" borderId="7" xfId="0" applyFont="1" applyBorder="1"/>
    <xf numFmtId="0" fontId="0" fillId="0" borderId="87" xfId="0" applyBorder="1" applyAlignment="1">
      <alignment horizontal="left"/>
    </xf>
    <xf numFmtId="0" fontId="0" fillId="0" borderId="40" xfId="0" applyBorder="1" applyAlignment="1">
      <alignment horizontal="left"/>
    </xf>
    <xf numFmtId="0" fontId="0" fillId="0" borderId="41" xfId="0" applyBorder="1" applyAlignment="1">
      <alignment horizontal="left"/>
    </xf>
    <xf numFmtId="0" fontId="0" fillId="0" borderId="42" xfId="0" applyBorder="1" applyAlignment="1">
      <alignment horizontal="left"/>
    </xf>
    <xf numFmtId="0" fontId="2" fillId="0" borderId="1" xfId="0" applyFont="1" applyBorder="1" applyAlignment="1">
      <alignment horizontal="center"/>
    </xf>
    <xf numFmtId="0" fontId="14" fillId="0" borderId="96" xfId="0" applyFont="1" applyBorder="1" applyAlignment="1">
      <alignment horizontal="center"/>
    </xf>
    <xf numFmtId="0" fontId="2" fillId="0" borderId="96" xfId="0" applyFont="1" applyBorder="1" applyAlignment="1">
      <alignment horizontal="center"/>
    </xf>
    <xf numFmtId="0" fontId="2" fillId="0" borderId="109" xfId="0" applyFont="1" applyBorder="1" applyAlignment="1">
      <alignment horizontal="center"/>
    </xf>
    <xf numFmtId="0" fontId="2" fillId="0" borderId="97" xfId="0" applyFont="1" applyBorder="1" applyAlignment="1">
      <alignment horizontal="center"/>
    </xf>
    <xf numFmtId="0" fontId="9" fillId="3" borderId="0" xfId="0" applyFont="1" applyFill="1" applyAlignment="1">
      <alignment horizontal="center" vertical="center" wrapText="1"/>
    </xf>
    <xf numFmtId="0" fontId="9" fillId="3" borderId="0" xfId="0" applyFont="1" applyFill="1" applyAlignment="1">
      <alignment vertical="center"/>
    </xf>
    <xf numFmtId="0" fontId="2" fillId="0" borderId="8" xfId="0" applyFont="1" applyBorder="1" applyAlignment="1">
      <alignment horizontal="left"/>
    </xf>
    <xf numFmtId="0" fontId="0" fillId="0" borderId="2" xfId="0" applyBorder="1" applyAlignment="1">
      <alignment horizontal="center"/>
    </xf>
    <xf numFmtId="0" fontId="0" fillId="0" borderId="2" xfId="0" applyBorder="1"/>
    <xf numFmtId="0" fontId="0" fillId="0" borderId="3" xfId="0" applyBorder="1"/>
    <xf numFmtId="14" fontId="0" fillId="0" borderId="2" xfId="0" applyNumberFormat="1" applyBorder="1" applyAlignment="1">
      <alignment horizontal="center"/>
    </xf>
    <xf numFmtId="0" fontId="2" fillId="3" borderId="5" xfId="0" applyFont="1" applyFill="1" applyBorder="1" applyAlignment="1">
      <alignment horizontal="left"/>
    </xf>
    <xf numFmtId="0" fontId="2" fillId="3" borderId="6" xfId="0" applyFont="1" applyFill="1" applyBorder="1" applyAlignment="1">
      <alignment horizontal="left"/>
    </xf>
    <xf numFmtId="0" fontId="24" fillId="3" borderId="0" xfId="0" applyFont="1" applyFill="1" applyAlignment="1">
      <alignment horizontal="center"/>
    </xf>
    <xf numFmtId="0" fontId="16" fillId="3" borderId="11" xfId="0" applyFont="1" applyFill="1" applyBorder="1" applyAlignment="1">
      <alignment horizontal="center"/>
    </xf>
    <xf numFmtId="0" fontId="25" fillId="5" borderId="0" xfId="0" applyFont="1" applyFill="1" applyAlignment="1">
      <alignment horizontal="center"/>
    </xf>
    <xf numFmtId="0" fontId="25" fillId="5" borderId="11" xfId="0" applyFont="1" applyFill="1" applyBorder="1" applyAlignment="1">
      <alignment horizontal="center"/>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0" xfId="0" applyFont="1" applyAlignment="1">
      <alignment horizontal="center" vertical="center" wrapText="1"/>
    </xf>
    <xf numFmtId="0" fontId="16" fillId="0" borderId="17" xfId="0" applyFont="1" applyBorder="1" applyAlignment="1">
      <alignment horizontal="center" vertical="center" wrapText="1"/>
    </xf>
    <xf numFmtId="0" fontId="8" fillId="0" borderId="91" xfId="0" applyFont="1" applyBorder="1" applyAlignment="1">
      <alignment horizontal="center" vertical="center"/>
    </xf>
    <xf numFmtId="0" fontId="8" fillId="0" borderId="2" xfId="0" applyFont="1" applyBorder="1" applyAlignment="1">
      <alignment horizontal="center" vertical="center"/>
    </xf>
    <xf numFmtId="0" fontId="8" fillId="0" borderId="18"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21" xfId="0" applyFont="1" applyBorder="1" applyAlignment="1">
      <alignment horizontal="center" vertical="center"/>
    </xf>
    <xf numFmtId="0" fontId="16" fillId="3" borderId="8" xfId="0" applyFont="1" applyFill="1" applyBorder="1" applyAlignment="1">
      <alignment horizontal="center" vertical="center" textRotation="90"/>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21" xfId="0" applyFont="1" applyBorder="1" applyAlignment="1">
      <alignment horizontal="center" vertical="center"/>
    </xf>
    <xf numFmtId="0" fontId="16" fillId="0" borderId="10" xfId="0" applyFont="1" applyBorder="1" applyAlignment="1">
      <alignment horizontal="center" vertical="center" wrapText="1"/>
    </xf>
    <xf numFmtId="0" fontId="16" fillId="0" borderId="11" xfId="0" applyFont="1" applyBorder="1" applyAlignment="1">
      <alignment horizontal="center" vertical="center" wrapText="1"/>
    </xf>
    <xf numFmtId="0" fontId="8" fillId="0" borderId="0" xfId="0" applyFont="1" applyAlignment="1">
      <alignment horizontal="center" vertical="center"/>
    </xf>
    <xf numFmtId="0" fontId="8" fillId="0" borderId="17" xfId="0" applyFont="1" applyBorder="1" applyAlignment="1">
      <alignment horizontal="center" vertical="center"/>
    </xf>
    <xf numFmtId="0" fontId="18" fillId="3" borderId="8" xfId="0" applyFont="1" applyFill="1" applyBorder="1" applyAlignment="1">
      <alignment horizontal="center" vertical="center" textRotation="90"/>
    </xf>
    <xf numFmtId="0" fontId="18" fillId="3" borderId="10" xfId="0" applyFont="1" applyFill="1" applyBorder="1" applyAlignment="1">
      <alignment horizontal="center" vertical="center" textRotation="90"/>
    </xf>
    <xf numFmtId="0" fontId="2" fillId="0" borderId="8" xfId="0" applyFont="1" applyBorder="1" applyAlignment="1">
      <alignment horizontal="left"/>
    </xf>
    <xf numFmtId="0" fontId="2" fillId="0" borderId="0" xfId="0" applyFont="1" applyAlignment="1">
      <alignment horizontal="left"/>
    </xf>
    <xf numFmtId="0" fontId="0" fillId="0" borderId="8" xfId="0" applyBorder="1" applyAlignment="1">
      <alignment horizontal="left"/>
    </xf>
    <xf numFmtId="0" fontId="0" fillId="0" borderId="0" xfId="0" applyAlignment="1">
      <alignment horizontal="left"/>
    </xf>
    <xf numFmtId="0" fontId="2" fillId="0" borderId="5" xfId="0" applyFont="1" applyBorder="1" applyAlignment="1">
      <alignment horizontal="center"/>
    </xf>
    <xf numFmtId="0" fontId="2" fillId="0" borderId="6" xfId="0" applyFont="1" applyBorder="1" applyAlignment="1">
      <alignment horizontal="center"/>
    </xf>
    <xf numFmtId="0" fontId="0" fillId="0" borderId="8" xfId="0" applyBorder="1" applyAlignment="1">
      <alignment horizontal="center"/>
      <extLst>
        <ext xmlns:xfpb="http://schemas.microsoft.com/office/spreadsheetml/2022/featurepropertybag" uri="{C7286773-470A-42A8-94C5-96B5CB345126}">
          <xfpb:xfComplement i="0"/>
        </ext>
      </extLst>
    </xf>
    <xf numFmtId="0" fontId="0" fillId="0" borderId="0" xfId="0" applyAlignment="1">
      <alignment horizontal="center"/>
      <extLst>
        <ext xmlns:xfpb="http://schemas.microsoft.com/office/spreadsheetml/2022/featurepropertybag" uri="{C7286773-470A-42A8-94C5-96B5CB345126}">
          <xfpb:xfComplement i="0"/>
        </ext>
      </extLst>
    </xf>
    <xf numFmtId="0" fontId="0" fillId="0" borderId="11" xfId="0" applyBorder="1" applyAlignment="1">
      <alignment horizontal="left"/>
    </xf>
    <xf numFmtId="0" fontId="2" fillId="0" borderId="77" xfId="0" applyFont="1" applyBorder="1" applyAlignment="1">
      <alignment horizontal="left"/>
    </xf>
    <xf numFmtId="0" fontId="0" fillId="0" borderId="78" xfId="0" applyBorder="1" applyAlignment="1">
      <alignment horizontal="left"/>
    </xf>
    <xf numFmtId="0" fontId="0" fillId="0" borderId="77" xfId="0" applyBorder="1" applyAlignment="1">
      <alignment horizontal="left"/>
    </xf>
    <xf numFmtId="0" fontId="6" fillId="0" borderId="0" xfId="0" applyFont="1" applyAlignment="1">
      <alignment horizontal="center"/>
    </xf>
    <xf numFmtId="0" fontId="6" fillId="0" borderId="17" xfId="0" applyFont="1" applyBorder="1" applyAlignment="1">
      <alignment horizontal="center"/>
    </xf>
    <xf numFmtId="0" fontId="6" fillId="0" borderId="77" xfId="0" applyFont="1" applyBorder="1" applyAlignment="1">
      <alignment horizontal="center"/>
    </xf>
    <xf numFmtId="0" fontId="6" fillId="0" borderId="79" xfId="0" applyFont="1" applyBorder="1" applyAlignment="1">
      <alignment horizontal="center"/>
    </xf>
    <xf numFmtId="0" fontId="2" fillId="0" borderId="77" xfId="0" applyFont="1" applyBorder="1" applyAlignment="1">
      <alignment horizontal="center"/>
    </xf>
    <xf numFmtId="0" fontId="2" fillId="3" borderId="7" xfId="0" applyFont="1" applyFill="1" applyBorder="1" applyAlignment="1">
      <alignment horizontal="left"/>
    </xf>
    <xf numFmtId="0" fontId="2" fillId="0" borderId="79" xfId="0" applyFont="1" applyBorder="1" applyAlignment="1">
      <alignment horizontal="center"/>
    </xf>
    <xf numFmtId="0" fontId="2" fillId="0" borderId="0" xfId="0" applyFont="1" applyAlignment="1">
      <alignment horizontal="center"/>
    </xf>
    <xf numFmtId="0" fontId="2" fillId="0" borderId="17" xfId="0" applyFont="1" applyBorder="1" applyAlignment="1">
      <alignment horizontal="center"/>
    </xf>
    <xf numFmtId="0" fontId="6" fillId="3" borderId="0" xfId="0" applyFont="1" applyFill="1" applyAlignment="1">
      <alignment horizontal="left"/>
    </xf>
    <xf numFmtId="0" fontId="6" fillId="0" borderId="0" xfId="0" applyFont="1" applyAlignment="1">
      <alignment horizontal="left"/>
    </xf>
    <xf numFmtId="0" fontId="6" fillId="3" borderId="11" xfId="0" applyFont="1" applyFill="1" applyBorder="1" applyAlignment="1">
      <alignment horizontal="left"/>
    </xf>
    <xf numFmtId="0" fontId="18" fillId="0" borderId="80" xfId="0" applyFont="1" applyBorder="1" applyAlignment="1">
      <alignment horizontal="center" vertical="center"/>
    </xf>
    <xf numFmtId="0" fontId="18" fillId="0" borderId="0" xfId="0" applyFont="1" applyAlignment="1">
      <alignment horizontal="center" vertical="center"/>
    </xf>
    <xf numFmtId="0" fontId="18" fillId="0" borderId="77" xfId="0" applyFont="1" applyBorder="1" applyAlignment="1">
      <alignment horizontal="center" vertical="center"/>
    </xf>
    <xf numFmtId="0" fontId="7" fillId="3" borderId="81" xfId="0" applyFont="1" applyFill="1" applyBorder="1" applyAlignment="1">
      <alignment horizontal="center" vertical="center" textRotation="90" wrapText="1"/>
    </xf>
    <xf numFmtId="0" fontId="7" fillId="3" borderId="8" xfId="0" applyFont="1" applyFill="1" applyBorder="1" applyAlignment="1">
      <alignment horizontal="center" vertical="center" textRotation="90" wrapText="1"/>
    </xf>
    <xf numFmtId="0" fontId="7" fillId="3" borderId="78" xfId="0" applyFont="1" applyFill="1" applyBorder="1" applyAlignment="1">
      <alignment horizontal="center" vertical="center" textRotation="90" wrapText="1"/>
    </xf>
    <xf numFmtId="0" fontId="8" fillId="3" borderId="81" xfId="0" applyFont="1" applyFill="1" applyBorder="1" applyAlignment="1">
      <alignment horizontal="center" vertical="center" textRotation="90" wrapText="1"/>
    </xf>
    <xf numFmtId="0" fontId="8" fillId="3" borderId="8" xfId="0" applyFont="1" applyFill="1" applyBorder="1" applyAlignment="1">
      <alignment horizontal="center" vertical="center" textRotation="90" wrapText="1"/>
    </xf>
    <xf numFmtId="0" fontId="8" fillId="3" borderId="10" xfId="0" applyFont="1" applyFill="1" applyBorder="1" applyAlignment="1">
      <alignment horizontal="center" vertical="center" textRotation="90" wrapText="1"/>
    </xf>
    <xf numFmtId="0" fontId="18" fillId="0" borderId="11" xfId="0" applyFont="1" applyBorder="1" applyAlignment="1">
      <alignment horizontal="center" vertical="center"/>
    </xf>
    <xf numFmtId="0" fontId="0" fillId="0" borderId="81" xfId="0" applyBorder="1" applyAlignment="1">
      <alignment horizontal="left"/>
    </xf>
    <xf numFmtId="0" fontId="0" fillId="0" borderId="80" xfId="0" applyBorder="1" applyAlignment="1">
      <alignment horizontal="left"/>
    </xf>
    <xf numFmtId="0" fontId="0" fillId="0" borderId="10" xfId="0" applyBorder="1" applyAlignment="1">
      <alignment horizontal="left"/>
    </xf>
    <xf numFmtId="0" fontId="6" fillId="3" borderId="80" xfId="0" applyFont="1" applyFill="1" applyBorder="1" applyAlignment="1">
      <alignment horizontal="center"/>
    </xf>
    <xf numFmtId="0" fontId="6" fillId="3" borderId="82" xfId="0" applyFont="1" applyFill="1" applyBorder="1" applyAlignment="1">
      <alignment horizontal="center"/>
    </xf>
    <xf numFmtId="0" fontId="6" fillId="3" borderId="0" xfId="0" applyFont="1" applyFill="1" applyAlignment="1">
      <alignment horizontal="center"/>
    </xf>
    <xf numFmtId="0" fontId="6" fillId="3" borderId="17" xfId="0" applyFont="1" applyFill="1" applyBorder="1" applyAlignment="1">
      <alignment horizontal="center"/>
    </xf>
    <xf numFmtId="0" fontId="6" fillId="3" borderId="11" xfId="0" applyFont="1" applyFill="1" applyBorder="1" applyAlignment="1">
      <alignment horizontal="center"/>
    </xf>
    <xf numFmtId="0" fontId="6" fillId="3" borderId="21" xfId="0" applyFont="1" applyFill="1" applyBorder="1" applyAlignment="1">
      <alignment horizontal="center"/>
    </xf>
    <xf numFmtId="0" fontId="6" fillId="3" borderId="77" xfId="0" applyFont="1" applyFill="1" applyBorder="1" applyAlignment="1">
      <alignment horizontal="center"/>
    </xf>
    <xf numFmtId="0" fontId="6" fillId="3" borderId="79" xfId="0" applyFont="1" applyFill="1" applyBorder="1" applyAlignment="1">
      <alignment horizontal="center"/>
    </xf>
    <xf numFmtId="0" fontId="9" fillId="3" borderId="81" xfId="0" applyFont="1" applyFill="1" applyBorder="1" applyAlignment="1">
      <alignment horizontal="center" vertical="center" textRotation="90"/>
    </xf>
    <xf numFmtId="0" fontId="9" fillId="3" borderId="8" xfId="0" applyFont="1" applyFill="1" applyBorder="1" applyAlignment="1">
      <alignment horizontal="center" vertical="center" textRotation="90"/>
    </xf>
    <xf numFmtId="0" fontId="9" fillId="3" borderId="78" xfId="0" applyFont="1" applyFill="1" applyBorder="1" applyAlignment="1">
      <alignment horizontal="center" vertical="center" textRotation="90"/>
    </xf>
    <xf numFmtId="0" fontId="6" fillId="0" borderId="80" xfId="0" applyFont="1" applyBorder="1" applyAlignment="1">
      <alignment horizontal="center"/>
    </xf>
    <xf numFmtId="0" fontId="6" fillId="0" borderId="82" xfId="0" applyFont="1" applyBorder="1" applyAlignment="1">
      <alignment horizontal="center"/>
    </xf>
    <xf numFmtId="0" fontId="7" fillId="3" borderId="81" xfId="0" applyFont="1" applyFill="1" applyBorder="1" applyAlignment="1">
      <alignment horizontal="center" vertical="center" textRotation="90"/>
    </xf>
    <xf numFmtId="0" fontId="7" fillId="3" borderId="8" xfId="0" applyFont="1" applyFill="1" applyBorder="1" applyAlignment="1">
      <alignment horizontal="center" vertical="center" textRotation="90"/>
    </xf>
    <xf numFmtId="0" fontId="7" fillId="3" borderId="78" xfId="0" applyFont="1" applyFill="1" applyBorder="1" applyAlignment="1">
      <alignment horizontal="center" vertical="center" textRotation="90"/>
    </xf>
    <xf numFmtId="0" fontId="6" fillId="0" borderId="80" xfId="0" applyFont="1" applyBorder="1" applyAlignment="1">
      <alignment horizontal="center" vertical="center"/>
    </xf>
    <xf numFmtId="0" fontId="6" fillId="0" borderId="82" xfId="0" applyFont="1" applyBorder="1" applyAlignment="1">
      <alignment horizontal="center" vertical="center"/>
    </xf>
    <xf numFmtId="0" fontId="6" fillId="0" borderId="0" xfId="0" applyFont="1" applyAlignment="1">
      <alignment horizontal="center" vertical="center"/>
    </xf>
    <xf numFmtId="0" fontId="6" fillId="0" borderId="17" xfId="0" applyFont="1" applyBorder="1" applyAlignment="1">
      <alignment horizontal="center" vertical="center"/>
    </xf>
    <xf numFmtId="0" fontId="6" fillId="0" borderId="77" xfId="0" applyFont="1" applyBorder="1" applyAlignment="1">
      <alignment horizontal="center" vertical="center"/>
    </xf>
    <xf numFmtId="0" fontId="6" fillId="0" borderId="79" xfId="0" applyFont="1" applyBorder="1" applyAlignment="1">
      <alignment horizontal="center" vertical="center"/>
    </xf>
    <xf numFmtId="0" fontId="8" fillId="3" borderId="78" xfId="0" applyFont="1" applyFill="1" applyBorder="1" applyAlignment="1">
      <alignment horizontal="center" vertical="center" textRotation="90" wrapText="1"/>
    </xf>
    <xf numFmtId="0" fontId="2" fillId="0" borderId="11" xfId="0" applyFont="1" applyBorder="1" applyAlignment="1">
      <alignment horizontal="center"/>
    </xf>
    <xf numFmtId="0" fontId="2" fillId="0" borderId="21" xfId="0" applyFont="1" applyBorder="1" applyAlignment="1">
      <alignment horizontal="center"/>
    </xf>
    <xf numFmtId="0" fontId="19" fillId="3" borderId="8" xfId="0" applyFont="1" applyFill="1" applyBorder="1" applyAlignment="1">
      <alignment horizontal="center"/>
    </xf>
    <xf numFmtId="0" fontId="19" fillId="3" borderId="0" xfId="0" applyFont="1" applyFill="1" applyAlignment="1">
      <alignment horizontal="center"/>
    </xf>
    <xf numFmtId="0" fontId="19" fillId="3" borderId="17" xfId="0" applyFont="1" applyFill="1" applyBorder="1" applyAlignment="1">
      <alignment horizontal="center"/>
    </xf>
    <xf numFmtId="0" fontId="2" fillId="0" borderId="73" xfId="0" applyFont="1" applyBorder="1" applyAlignment="1">
      <alignment horizontal="center"/>
    </xf>
    <xf numFmtId="0" fontId="2" fillId="0" borderId="76" xfId="0" applyFont="1" applyBorder="1" applyAlignment="1">
      <alignment horizontal="center"/>
    </xf>
    <xf numFmtId="0" fontId="19" fillId="3" borderId="5" xfId="0" applyFont="1" applyFill="1" applyBorder="1" applyAlignment="1">
      <alignment horizontal="left"/>
    </xf>
    <xf numFmtId="0" fontId="19" fillId="3" borderId="6" xfId="0" applyFont="1" applyFill="1" applyBorder="1" applyAlignment="1">
      <alignment horizontal="left"/>
    </xf>
    <xf numFmtId="0" fontId="19" fillId="3" borderId="7" xfId="0" applyFont="1" applyFill="1" applyBorder="1" applyAlignment="1">
      <alignment horizontal="left"/>
    </xf>
    <xf numFmtId="0" fontId="14" fillId="0" borderId="0" xfId="0" applyFont="1" applyAlignment="1">
      <alignment horizontal="left" vertical="center" wrapText="1"/>
    </xf>
    <xf numFmtId="0" fontId="14" fillId="0" borderId="77" xfId="0" applyFont="1" applyBorder="1" applyAlignment="1">
      <alignment horizontal="left" vertical="center" wrapText="1"/>
    </xf>
    <xf numFmtId="0" fontId="17" fillId="3" borderId="8" xfId="0" applyFont="1" applyFill="1" applyBorder="1" applyAlignment="1">
      <alignment horizontal="center" vertical="center" textRotation="90"/>
    </xf>
    <xf numFmtId="0" fontId="17" fillId="3" borderId="78" xfId="0" applyFont="1" applyFill="1" applyBorder="1" applyAlignment="1">
      <alignment horizontal="center" vertical="center" textRotation="90"/>
    </xf>
    <xf numFmtId="0" fontId="2" fillId="3" borderId="0" xfId="0" applyFont="1" applyFill="1" applyAlignment="1">
      <alignment horizontal="center"/>
    </xf>
    <xf numFmtId="165" fontId="0" fillId="0" borderId="8" xfId="0" applyNumberFormat="1" applyBorder="1" applyAlignment="1">
      <alignment horizontal="center"/>
    </xf>
    <xf numFmtId="165" fontId="0" fillId="0" borderId="0" xfId="0" applyNumberFormat="1" applyAlignment="1">
      <alignment horizontal="center"/>
    </xf>
    <xf numFmtId="0" fontId="0" fillId="0" borderId="0" xfId="0" applyAlignment="1">
      <alignment horizontal="center"/>
    </xf>
    <xf numFmtId="0" fontId="2" fillId="0" borderId="10" xfId="0" applyFont="1" applyBorder="1" applyAlignment="1">
      <alignment horizontal="left"/>
    </xf>
    <xf numFmtId="0" fontId="2" fillId="0" borderId="11" xfId="0" applyFont="1" applyBorder="1" applyAlignment="1">
      <alignment horizontal="left"/>
    </xf>
    <xf numFmtId="167" fontId="18" fillId="0" borderId="0" xfId="0" applyNumberFormat="1" applyFont="1" applyAlignment="1">
      <alignment horizontal="center" vertical="center"/>
    </xf>
    <xf numFmtId="0" fontId="14" fillId="0" borderId="73" xfId="0" applyFont="1" applyBorder="1" applyAlignment="1">
      <alignment horizontal="center" wrapText="1"/>
    </xf>
    <xf numFmtId="0" fontId="14" fillId="0" borderId="76" xfId="0" applyFont="1" applyBorder="1" applyAlignment="1">
      <alignment horizontal="center" wrapText="1"/>
    </xf>
    <xf numFmtId="0" fontId="16" fillId="0" borderId="0" xfId="0" applyFont="1" applyAlignment="1">
      <alignment horizontal="center" vertical="center"/>
    </xf>
    <xf numFmtId="0" fontId="16" fillId="0" borderId="17" xfId="0" applyFont="1" applyBorder="1" applyAlignment="1">
      <alignment horizontal="center" vertical="center"/>
    </xf>
    <xf numFmtId="0" fontId="16" fillId="0" borderId="11" xfId="0" applyFont="1" applyBorder="1" applyAlignment="1">
      <alignment horizontal="center" vertical="center"/>
    </xf>
    <xf numFmtId="0" fontId="16" fillId="0" borderId="21" xfId="0" applyFont="1" applyBorder="1" applyAlignment="1">
      <alignment horizontal="center" vertical="center"/>
    </xf>
    <xf numFmtId="0" fontId="2" fillId="0" borderId="0" xfId="0" applyFont="1" applyAlignment="1">
      <alignment horizontal="center" wrapText="1"/>
    </xf>
    <xf numFmtId="0" fontId="9" fillId="0" borderId="41" xfId="0" applyFont="1" applyBorder="1" applyAlignment="1">
      <alignment horizontal="center" vertical="center"/>
    </xf>
    <xf numFmtId="0" fontId="2" fillId="0" borderId="78" xfId="0" applyFont="1" applyBorder="1" applyAlignment="1">
      <alignment horizontal="left"/>
    </xf>
    <xf numFmtId="0" fontId="0" fillId="0" borderId="10" xfId="0" applyBorder="1" applyAlignment="1">
      <alignment horizontal="center"/>
      <extLst>
        <ext xmlns:xfpb="http://schemas.microsoft.com/office/spreadsheetml/2022/featurepropertybag" uri="{C7286773-470A-42A8-94C5-96B5CB345126}">
          <xfpb:xfComplement i="0"/>
        </ext>
      </extLst>
    </xf>
    <xf numFmtId="0" fontId="0" fillId="0" borderId="11" xfId="0" applyBorder="1" applyAlignment="1">
      <alignment horizontal="center"/>
      <extLst>
        <ext xmlns:xfpb="http://schemas.microsoft.com/office/spreadsheetml/2022/featurepropertybag" uri="{C7286773-470A-42A8-94C5-96B5CB345126}">
          <xfpb:xfComplement i="0"/>
        </ext>
      </extLst>
    </xf>
    <xf numFmtId="0" fontId="17" fillId="3" borderId="8" xfId="0" applyFont="1" applyFill="1" applyBorder="1" applyAlignment="1">
      <alignment horizontal="center" textRotation="90"/>
    </xf>
    <xf numFmtId="0" fontId="17" fillId="3" borderId="78" xfId="0" applyFont="1" applyFill="1" applyBorder="1" applyAlignment="1">
      <alignment horizontal="center" textRotation="90"/>
    </xf>
    <xf numFmtId="0" fontId="17" fillId="3" borderId="8" xfId="0" applyFont="1" applyFill="1" applyBorder="1" applyAlignment="1">
      <alignment horizontal="center" textRotation="90" wrapText="1"/>
    </xf>
    <xf numFmtId="0" fontId="17" fillId="3" borderId="10" xfId="0" applyFont="1" applyFill="1" applyBorder="1" applyAlignment="1">
      <alignment horizontal="center" textRotation="90" wrapText="1"/>
    </xf>
    <xf numFmtId="0" fontId="14" fillId="0" borderId="0" xfId="0" applyFont="1" applyAlignment="1">
      <alignment horizontal="center" vertical="center" wrapText="1"/>
    </xf>
    <xf numFmtId="0" fontId="14" fillId="0" borderId="77" xfId="0" applyFont="1" applyBorder="1" applyAlignment="1">
      <alignment horizontal="center" vertical="center" wrapText="1"/>
    </xf>
    <xf numFmtId="0" fontId="9" fillId="0" borderId="40" xfId="0" applyFont="1" applyBorder="1" applyAlignment="1">
      <alignment horizontal="center" vertical="center"/>
    </xf>
    <xf numFmtId="0" fontId="9" fillId="0" borderId="83" xfId="0" applyFont="1" applyBorder="1" applyAlignment="1">
      <alignment horizontal="center" vertical="center"/>
    </xf>
    <xf numFmtId="0" fontId="2" fillId="0" borderId="11" xfId="0" applyFont="1" applyBorder="1" applyAlignment="1">
      <alignment horizontal="center" wrapText="1"/>
    </xf>
    <xf numFmtId="0" fontId="9" fillId="0" borderId="42" xfId="0" applyFont="1" applyBorder="1" applyAlignment="1">
      <alignment horizontal="center" vertical="center"/>
    </xf>
    <xf numFmtId="0" fontId="16" fillId="0" borderId="78" xfId="0" applyFont="1" applyBorder="1" applyAlignment="1">
      <alignment horizontal="center" vertical="center" wrapText="1"/>
    </xf>
    <xf numFmtId="0" fontId="16" fillId="0" borderId="77" xfId="0" applyFont="1" applyBorder="1" applyAlignment="1">
      <alignment horizontal="center" vertical="center" wrapText="1"/>
    </xf>
    <xf numFmtId="165" fontId="9" fillId="0" borderId="6" xfId="0" applyNumberFormat="1" applyFont="1" applyBorder="1" applyAlignment="1">
      <alignment horizontal="center" vertical="center"/>
    </xf>
    <xf numFmtId="0" fontId="9" fillId="0" borderId="0" xfId="0" applyFont="1" applyAlignment="1">
      <alignment horizontal="center" vertical="center"/>
    </xf>
    <xf numFmtId="0" fontId="9" fillId="0" borderId="17" xfId="0" applyFont="1" applyBorder="1" applyAlignment="1">
      <alignment horizontal="center" vertical="center"/>
    </xf>
    <xf numFmtId="0" fontId="9" fillId="0" borderId="77" xfId="0" applyFont="1" applyBorder="1" applyAlignment="1">
      <alignment horizontal="center" vertical="center"/>
    </xf>
    <xf numFmtId="0" fontId="9" fillId="0" borderId="79" xfId="0" applyFont="1" applyBorder="1" applyAlignment="1">
      <alignment horizontal="center" vertical="center"/>
    </xf>
    <xf numFmtId="167" fontId="9" fillId="0" borderId="0" xfId="0" applyNumberFormat="1" applyFont="1" applyAlignment="1">
      <alignment horizontal="center" vertical="center"/>
    </xf>
    <xf numFmtId="167" fontId="9" fillId="0" borderId="17" xfId="0" applyNumberFormat="1" applyFont="1" applyBorder="1" applyAlignment="1">
      <alignment horizontal="center" vertical="center"/>
    </xf>
    <xf numFmtId="167" fontId="9" fillId="0" borderId="11" xfId="0" applyNumberFormat="1" applyFont="1" applyBorder="1" applyAlignment="1">
      <alignment horizontal="center" vertical="center"/>
    </xf>
    <xf numFmtId="167" fontId="9" fillId="0" borderId="21" xfId="0" applyNumberFormat="1" applyFont="1" applyBorder="1" applyAlignment="1">
      <alignment horizontal="center" vertical="center"/>
    </xf>
    <xf numFmtId="0" fontId="19" fillId="3" borderId="8" xfId="0" applyFont="1" applyFill="1" applyBorder="1" applyAlignment="1">
      <alignment horizontal="left" vertical="center"/>
    </xf>
    <xf numFmtId="0" fontId="19" fillId="3" borderId="0" xfId="0" applyFont="1" applyFill="1" applyAlignment="1">
      <alignment horizontal="left" vertical="center"/>
    </xf>
    <xf numFmtId="0" fontId="19" fillId="3" borderId="17" xfId="0" applyFont="1" applyFill="1" applyBorder="1" applyAlignment="1">
      <alignment horizontal="left" vertical="center"/>
    </xf>
    <xf numFmtId="0" fontId="0" fillId="0" borderId="17" xfId="0" applyBorder="1" applyAlignment="1">
      <alignment horizontal="center"/>
    </xf>
    <xf numFmtId="0" fontId="2" fillId="0" borderId="72" xfId="0" applyFont="1" applyBorder="1" applyAlignment="1">
      <alignment horizontal="center"/>
    </xf>
    <xf numFmtId="0" fontId="0" fillId="0" borderId="72" xfId="0" applyBorder="1" applyAlignment="1">
      <alignment horizontal="center"/>
    </xf>
    <xf numFmtId="0" fontId="0" fillId="0" borderId="75" xfId="0" applyBorder="1" applyAlignment="1">
      <alignment horizontal="center"/>
    </xf>
    <xf numFmtId="0" fontId="0" fillId="0" borderId="11" xfId="0" applyBorder="1" applyAlignment="1">
      <alignment horizontal="center"/>
    </xf>
    <xf numFmtId="0" fontId="0" fillId="0" borderId="21" xfId="0" applyBorder="1" applyAlignment="1">
      <alignment horizontal="center"/>
    </xf>
    <xf numFmtId="0" fontId="2" fillId="0" borderId="8" xfId="0" applyFont="1" applyBorder="1" applyAlignment="1">
      <alignment horizontal="center"/>
    </xf>
    <xf numFmtId="0" fontId="18" fillId="3" borderId="8" xfId="0" applyFont="1" applyFill="1" applyBorder="1" applyAlignment="1">
      <alignment horizontal="center" textRotation="90"/>
    </xf>
    <xf numFmtId="0" fontId="18" fillId="3" borderId="10" xfId="0" applyFont="1" applyFill="1" applyBorder="1" applyAlignment="1">
      <alignment horizontal="center" textRotation="90"/>
    </xf>
    <xf numFmtId="0" fontId="9" fillId="0" borderId="8" xfId="0" applyFont="1" applyBorder="1" applyAlignment="1">
      <alignment horizontal="center" vertical="center"/>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0" xfId="0" applyFont="1" applyAlignment="1">
      <alignment horizontal="center" vertical="center" wrapText="1"/>
    </xf>
    <xf numFmtId="0" fontId="9" fillId="0" borderId="17"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21" xfId="0" applyFont="1" applyBorder="1" applyAlignment="1">
      <alignment horizontal="center" vertical="center" wrapText="1"/>
    </xf>
    <xf numFmtId="0" fontId="18" fillId="3" borderId="41" xfId="0" applyFont="1" applyFill="1" applyBorder="1" applyAlignment="1">
      <alignment horizontal="center" vertical="center" textRotation="90"/>
    </xf>
    <xf numFmtId="0" fontId="0" fillId="0" borderId="5" xfId="0" applyBorder="1" applyAlignment="1">
      <alignment horizontal="left"/>
    </xf>
    <xf numFmtId="0" fontId="0" fillId="0" borderId="6" xfId="0" applyBorder="1" applyAlignment="1">
      <alignment horizontal="left"/>
    </xf>
    <xf numFmtId="0" fontId="0" fillId="0" borderId="17" xfId="0" applyBorder="1" applyAlignment="1">
      <alignment horizontal="left"/>
    </xf>
    <xf numFmtId="0" fontId="0" fillId="5" borderId="5" xfId="0" applyFill="1" applyBorder="1" applyAlignment="1">
      <alignment horizontal="center" vertical="top" wrapText="1"/>
    </xf>
    <xf numFmtId="0" fontId="0" fillId="5" borderId="6" xfId="0" applyFill="1" applyBorder="1" applyAlignment="1">
      <alignment horizontal="center" vertical="top"/>
    </xf>
    <xf numFmtId="0" fontId="0" fillId="5" borderId="7" xfId="0" applyFill="1" applyBorder="1" applyAlignment="1">
      <alignment horizontal="center" vertical="top"/>
    </xf>
    <xf numFmtId="0" fontId="0" fillId="5" borderId="8" xfId="0" applyFill="1" applyBorder="1" applyAlignment="1">
      <alignment horizontal="center" vertical="top"/>
    </xf>
    <xf numFmtId="0" fontId="0" fillId="5" borderId="0" xfId="0" applyFill="1" applyAlignment="1">
      <alignment horizontal="center" vertical="top"/>
    </xf>
    <xf numFmtId="0" fontId="0" fillId="5" borderId="17" xfId="0" applyFill="1" applyBorder="1" applyAlignment="1">
      <alignment horizontal="center" vertical="top"/>
    </xf>
    <xf numFmtId="0" fontId="0" fillId="5" borderId="10" xfId="0" applyFill="1" applyBorder="1" applyAlignment="1">
      <alignment horizontal="center" vertical="top"/>
    </xf>
    <xf numFmtId="0" fontId="0" fillId="5" borderId="11" xfId="0" applyFill="1" applyBorder="1" applyAlignment="1">
      <alignment horizontal="center" vertical="top"/>
    </xf>
    <xf numFmtId="0" fontId="0" fillId="5" borderId="21" xfId="0" applyFill="1" applyBorder="1" applyAlignment="1">
      <alignment horizontal="center" vertical="top"/>
    </xf>
    <xf numFmtId="0" fontId="0" fillId="5" borderId="6" xfId="0" applyFill="1" applyBorder="1" applyAlignment="1">
      <alignment horizontal="center" vertical="top" wrapText="1"/>
    </xf>
    <xf numFmtId="0" fontId="0" fillId="5" borderId="7" xfId="0" applyFill="1" applyBorder="1" applyAlignment="1">
      <alignment horizontal="center" vertical="top" wrapText="1"/>
    </xf>
    <xf numFmtId="0" fontId="0" fillId="5" borderId="8" xfId="0" applyFill="1" applyBorder="1" applyAlignment="1">
      <alignment horizontal="center" vertical="top" wrapText="1"/>
    </xf>
    <xf numFmtId="0" fontId="0" fillId="5" borderId="0" xfId="0" applyFill="1" applyAlignment="1">
      <alignment horizontal="center" vertical="top" wrapText="1"/>
    </xf>
    <xf numFmtId="0" fontId="0" fillId="5" borderId="17" xfId="0" applyFill="1" applyBorder="1" applyAlignment="1">
      <alignment horizontal="center" vertical="top" wrapText="1"/>
    </xf>
    <xf numFmtId="0" fontId="0" fillId="5" borderId="10" xfId="0" applyFill="1" applyBorder="1" applyAlignment="1">
      <alignment horizontal="center" vertical="top" wrapText="1"/>
    </xf>
    <xf numFmtId="0" fontId="0" fillId="5" borderId="11" xfId="0" applyFill="1" applyBorder="1" applyAlignment="1">
      <alignment horizontal="center" vertical="top" wrapText="1"/>
    </xf>
    <xf numFmtId="0" fontId="0" fillId="5" borderId="21" xfId="0" applyFill="1" applyBorder="1" applyAlignment="1">
      <alignment horizontal="center" vertical="top" wrapText="1"/>
    </xf>
    <xf numFmtId="0" fontId="0" fillId="6" borderId="5" xfId="0" applyFill="1" applyBorder="1" applyAlignment="1">
      <alignment horizontal="center" vertical="top" wrapText="1"/>
    </xf>
    <xf numFmtId="0" fontId="0" fillId="6" borderId="6" xfId="0" applyFill="1" applyBorder="1" applyAlignment="1">
      <alignment horizontal="center" vertical="top" wrapText="1"/>
    </xf>
    <xf numFmtId="0" fontId="0" fillId="6" borderId="7" xfId="0" applyFill="1" applyBorder="1" applyAlignment="1">
      <alignment horizontal="center" vertical="top" wrapText="1"/>
    </xf>
    <xf numFmtId="0" fontId="0" fillId="6" borderId="8" xfId="0" applyFill="1" applyBorder="1" applyAlignment="1">
      <alignment horizontal="center" vertical="top" wrapText="1"/>
    </xf>
    <xf numFmtId="0" fontId="0" fillId="6" borderId="17" xfId="0" applyFill="1" applyBorder="1" applyAlignment="1">
      <alignment horizontal="center" vertical="top" wrapText="1"/>
    </xf>
    <xf numFmtId="0" fontId="0" fillId="6" borderId="10" xfId="0" applyFill="1" applyBorder="1" applyAlignment="1">
      <alignment horizontal="center" vertical="top" wrapText="1"/>
    </xf>
    <xf numFmtId="0" fontId="0" fillId="6" borderId="11" xfId="0" applyFill="1" applyBorder="1" applyAlignment="1">
      <alignment horizontal="center" vertical="top" wrapText="1"/>
    </xf>
    <xf numFmtId="0" fontId="0" fillId="6" borderId="21" xfId="0" applyFill="1" applyBorder="1" applyAlignment="1">
      <alignment horizontal="center" vertical="top" wrapText="1"/>
    </xf>
    <xf numFmtId="0" fontId="4" fillId="2" borderId="0" xfId="0" applyFont="1" applyFill="1" applyAlignment="1">
      <alignment horizontal="center"/>
    </xf>
    <xf numFmtId="0" fontId="2" fillId="0" borderId="8" xfId="0" applyFont="1" applyBorder="1" applyAlignment="1">
      <alignment horizontal="right"/>
    </xf>
    <xf numFmtId="0" fontId="2" fillId="0" borderId="0" xfId="0" applyFont="1" applyAlignment="1">
      <alignment horizontal="right"/>
    </xf>
    <xf numFmtId="0" fontId="4" fillId="0" borderId="6" xfId="0" applyFont="1" applyBorder="1" applyAlignment="1">
      <alignment horizontal="center"/>
    </xf>
    <xf numFmtId="0" fontId="4" fillId="0" borderId="7" xfId="0" applyFont="1" applyBorder="1" applyAlignment="1">
      <alignment horizontal="center"/>
    </xf>
    <xf numFmtId="0" fontId="6" fillId="0" borderId="73" xfId="0" applyFont="1" applyBorder="1" applyAlignment="1">
      <alignment horizontal="left" vertical="center"/>
    </xf>
    <xf numFmtId="0" fontId="15" fillId="2" borderId="73" xfId="0" applyFont="1" applyFill="1" applyBorder="1" applyAlignment="1">
      <alignment horizontal="center"/>
    </xf>
    <xf numFmtId="0" fontId="15" fillId="2" borderId="71" xfId="0" applyFont="1" applyFill="1" applyBorder="1" applyAlignment="1">
      <alignment horizontal="center"/>
    </xf>
    <xf numFmtId="0" fontId="21" fillId="0" borderId="17" xfId="0" applyFont="1" applyBorder="1" applyAlignment="1">
      <alignment horizontal="center" vertical="center" textRotation="90"/>
    </xf>
    <xf numFmtId="0" fontId="20" fillId="0" borderId="17" xfId="0" applyFont="1" applyBorder="1" applyAlignment="1">
      <alignment horizontal="center" vertical="center" textRotation="90"/>
    </xf>
    <xf numFmtId="0" fontId="2" fillId="0" borderId="10" xfId="0" applyFont="1" applyBorder="1" applyAlignment="1">
      <alignment horizontal="right"/>
    </xf>
    <xf numFmtId="0" fontId="2" fillId="0" borderId="11" xfId="0" applyFont="1" applyBorder="1" applyAlignment="1">
      <alignment horizontal="right"/>
    </xf>
    <xf numFmtId="0" fontId="4" fillId="2" borderId="10" xfId="0" applyFont="1" applyFill="1" applyBorder="1" applyAlignment="1">
      <alignment horizontal="left"/>
    </xf>
    <xf numFmtId="0" fontId="4" fillId="2" borderId="11" xfId="0" applyFont="1" applyFill="1" applyBorder="1" applyAlignment="1">
      <alignment horizontal="left"/>
    </xf>
    <xf numFmtId="0" fontId="0" fillId="2" borderId="5" xfId="0" applyFill="1" applyBorder="1" applyAlignment="1">
      <alignment horizontal="left"/>
    </xf>
    <xf numFmtId="0" fontId="0" fillId="2" borderId="6" xfId="0" applyFill="1" applyBorder="1" applyAlignment="1">
      <alignment horizontal="left"/>
    </xf>
    <xf numFmtId="0" fontId="0" fillId="2" borderId="8" xfId="0" applyFill="1" applyBorder="1" applyAlignment="1">
      <alignment horizontal="left"/>
    </xf>
    <xf numFmtId="0" fontId="0" fillId="2" borderId="0" xfId="0" applyFill="1" applyAlignment="1">
      <alignment horizontal="left"/>
    </xf>
    <xf numFmtId="0" fontId="0" fillId="2" borderId="10" xfId="0" applyFill="1" applyBorder="1" applyAlignment="1">
      <alignment horizontal="left"/>
    </xf>
    <xf numFmtId="0" fontId="0" fillId="2" borderId="11" xfId="0" applyFill="1" applyBorder="1" applyAlignment="1">
      <alignment horizontal="left"/>
    </xf>
    <xf numFmtId="0" fontId="0" fillId="2" borderId="34" xfId="0" applyFill="1" applyBorder="1" applyAlignment="1">
      <alignment horizontal="center"/>
    </xf>
    <xf numFmtId="164" fontId="0" fillId="2" borderId="26" xfId="0" applyNumberFormat="1" applyFill="1" applyBorder="1" applyAlignment="1">
      <alignment horizontal="center"/>
    </xf>
    <xf numFmtId="164" fontId="0" fillId="2" borderId="28" xfId="0" applyNumberFormat="1" applyFill="1"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164" fontId="4" fillId="2" borderId="24" xfId="0" applyNumberFormat="1" applyFont="1" applyFill="1" applyBorder="1" applyAlignment="1">
      <alignment horizontal="center"/>
    </xf>
    <xf numFmtId="0" fontId="4" fillId="2" borderId="25" xfId="0" applyFont="1" applyFill="1" applyBorder="1" applyAlignment="1">
      <alignment horizontal="center"/>
    </xf>
    <xf numFmtId="0" fontId="0" fillId="2" borderId="22" xfId="0" applyFill="1" applyBorder="1" applyAlignment="1">
      <alignment horizontal="left"/>
    </xf>
    <xf numFmtId="0" fontId="0" fillId="2" borderId="3" xfId="0" applyFill="1" applyBorder="1" applyAlignment="1">
      <alignment horizontal="left"/>
    </xf>
    <xf numFmtId="0" fontId="0" fillId="2" borderId="1" xfId="0" applyFill="1" applyBorder="1" applyAlignment="1">
      <alignment horizontal="center"/>
    </xf>
    <xf numFmtId="0" fontId="0" fillId="2" borderId="9" xfId="0" applyFill="1" applyBorder="1" applyAlignment="1">
      <alignment horizontal="center"/>
    </xf>
    <xf numFmtId="167" fontId="0" fillId="2" borderId="12" xfId="0" applyNumberFormat="1" applyFill="1" applyBorder="1" applyAlignment="1">
      <alignment horizontal="center"/>
    </xf>
    <xf numFmtId="167" fontId="0" fillId="2" borderId="13" xfId="0" applyNumberFormat="1" applyFill="1" applyBorder="1" applyAlignment="1">
      <alignment horizontal="center"/>
    </xf>
    <xf numFmtId="9" fontId="0" fillId="2" borderId="1" xfId="1" applyFont="1" applyFill="1" applyBorder="1" applyAlignment="1">
      <alignment horizontal="center"/>
    </xf>
    <xf numFmtId="9" fontId="0" fillId="2" borderId="9" xfId="1" applyFont="1" applyFill="1" applyBorder="1" applyAlignment="1">
      <alignment horizontal="center"/>
    </xf>
    <xf numFmtId="167" fontId="0" fillId="2" borderId="1" xfId="0" applyNumberFormat="1" applyFill="1" applyBorder="1" applyAlignment="1">
      <alignment horizontal="center"/>
    </xf>
    <xf numFmtId="167" fontId="0" fillId="2" borderId="9" xfId="0" applyNumberFormat="1" applyFill="1" applyBorder="1" applyAlignment="1">
      <alignment horizontal="center"/>
    </xf>
    <xf numFmtId="0" fontId="0" fillId="2" borderId="26" xfId="0" applyFill="1" applyBorder="1" applyAlignment="1">
      <alignment horizontal="center"/>
    </xf>
    <xf numFmtId="0" fontId="0" fillId="2" borderId="27" xfId="0" applyFill="1" applyBorder="1" applyAlignment="1">
      <alignment horizontal="center"/>
    </xf>
    <xf numFmtId="0" fontId="0" fillId="2" borderId="28" xfId="0" applyFill="1" applyBorder="1" applyAlignment="1">
      <alignment horizontal="center"/>
    </xf>
    <xf numFmtId="164" fontId="0" fillId="2" borderId="27" xfId="0" applyNumberFormat="1" applyFill="1" applyBorder="1" applyAlignment="1">
      <alignment horizontal="center"/>
    </xf>
    <xf numFmtId="164" fontId="0" fillId="2" borderId="24" xfId="0" applyNumberFormat="1" applyFill="1" applyBorder="1" applyAlignment="1">
      <alignment horizontal="center"/>
    </xf>
    <xf numFmtId="164" fontId="0" fillId="2" borderId="23" xfId="0" applyNumberFormat="1" applyFill="1" applyBorder="1" applyAlignment="1">
      <alignment horizontal="center"/>
    </xf>
    <xf numFmtId="164" fontId="0" fillId="2" borderId="25" xfId="0" applyNumberFormat="1" applyFill="1" applyBorder="1" applyAlignment="1">
      <alignment horizontal="center"/>
    </xf>
    <xf numFmtId="0" fontId="0" fillId="2" borderId="19" xfId="0" applyFill="1" applyBorder="1" applyAlignment="1">
      <alignment horizontal="center"/>
    </xf>
    <xf numFmtId="0" fontId="0" fillId="2" borderId="20" xfId="0" applyFill="1" applyBorder="1" applyAlignment="1">
      <alignment horizontal="center"/>
    </xf>
    <xf numFmtId="3" fontId="0" fillId="0" borderId="19" xfId="0" applyNumberFormat="1" applyBorder="1" applyAlignment="1">
      <alignment horizontal="center"/>
    </xf>
    <xf numFmtId="3" fontId="0" fillId="0" borderId="20" xfId="0" applyNumberFormat="1" applyBorder="1" applyAlignment="1">
      <alignment horizontal="center"/>
    </xf>
    <xf numFmtId="3" fontId="0" fillId="0" borderId="1" xfId="0" applyNumberFormat="1" applyBorder="1" applyAlignment="1">
      <alignment horizontal="center"/>
    </xf>
    <xf numFmtId="3" fontId="0" fillId="0" borderId="9" xfId="0" applyNumberFormat="1" applyBorder="1" applyAlignment="1">
      <alignment horizontal="center"/>
    </xf>
    <xf numFmtId="3" fontId="0" fillId="2" borderId="12" xfId="0" applyNumberFormat="1" applyFill="1" applyBorder="1" applyAlignment="1">
      <alignment horizontal="center"/>
    </xf>
    <xf numFmtId="3" fontId="0" fillId="2" borderId="13" xfId="0" applyNumberFormat="1" applyFill="1" applyBorder="1" applyAlignment="1">
      <alignment horizontal="center"/>
    </xf>
    <xf numFmtId="0" fontId="7" fillId="0" borderId="19" xfId="0" applyFont="1" applyBorder="1" applyAlignment="1">
      <alignment horizontal="left"/>
    </xf>
    <xf numFmtId="0" fontId="7" fillId="0" borderId="38" xfId="0" applyFont="1" applyBorder="1" applyAlignment="1">
      <alignment horizontal="left"/>
    </xf>
    <xf numFmtId="0" fontId="7" fillId="0" borderId="20" xfId="0" applyFont="1" applyBorder="1" applyAlignment="1">
      <alignment horizontal="left"/>
    </xf>
    <xf numFmtId="0" fontId="0" fillId="0" borderId="1" xfId="0" applyBorder="1" applyAlignment="1">
      <alignment horizontal="left"/>
    </xf>
    <xf numFmtId="0" fontId="0" fillId="0" borderId="26" xfId="0" applyBorder="1" applyAlignment="1">
      <alignment horizontal="left"/>
    </xf>
    <xf numFmtId="0" fontId="0" fillId="0" borderId="9" xfId="0" applyBorder="1" applyAlignment="1">
      <alignment horizontal="left"/>
    </xf>
    <xf numFmtId="0" fontId="0" fillId="0" borderId="43" xfId="0" applyBorder="1" applyAlignment="1">
      <alignment horizontal="left"/>
    </xf>
    <xf numFmtId="0" fontId="0" fillId="0" borderId="12" xfId="0" applyBorder="1" applyAlignment="1">
      <alignment horizontal="left"/>
    </xf>
    <xf numFmtId="0" fontId="0" fillId="0" borderId="24" xfId="0" applyBorder="1" applyAlignment="1">
      <alignment horizontal="left"/>
    </xf>
    <xf numFmtId="0" fontId="0" fillId="0" borderId="13" xfId="0" applyBorder="1" applyAlignment="1">
      <alignment horizontal="left"/>
    </xf>
    <xf numFmtId="9" fontId="0" fillId="2" borderId="26" xfId="1" applyFont="1" applyFill="1" applyBorder="1" applyAlignment="1">
      <alignment horizontal="center"/>
    </xf>
    <xf numFmtId="9" fontId="0" fillId="2" borderId="36" xfId="1" applyFont="1" applyFill="1" applyBorder="1" applyAlignment="1">
      <alignment horizontal="center"/>
    </xf>
    <xf numFmtId="0" fontId="0" fillId="0" borderId="15" xfId="0" applyBorder="1" applyAlignment="1">
      <alignment horizontal="left"/>
    </xf>
    <xf numFmtId="0" fontId="0" fillId="0" borderId="22" xfId="0" applyBorder="1" applyAlignment="1">
      <alignment horizontal="center"/>
    </xf>
    <xf numFmtId="0" fontId="0" fillId="0" borderId="3" xfId="0" applyBorder="1" applyAlignment="1">
      <alignment horizontal="center"/>
    </xf>
    <xf numFmtId="0" fontId="0" fillId="0" borderId="49" xfId="0" applyBorder="1" applyAlignment="1">
      <alignment horizontal="center"/>
    </xf>
    <xf numFmtId="0" fontId="0" fillId="2" borderId="24" xfId="0" applyFill="1" applyBorder="1" applyAlignment="1">
      <alignment horizontal="center"/>
    </xf>
    <xf numFmtId="0" fontId="0" fillId="2" borderId="37" xfId="0" applyFill="1" applyBorder="1" applyAlignment="1">
      <alignment horizontal="center"/>
    </xf>
    <xf numFmtId="9" fontId="4" fillId="2" borderId="24" xfId="1" applyFont="1" applyFill="1" applyBorder="1" applyAlignment="1">
      <alignment horizontal="center"/>
    </xf>
    <xf numFmtId="9" fontId="4" fillId="2" borderId="37" xfId="1" applyFont="1" applyFill="1" applyBorder="1" applyAlignment="1">
      <alignment horizontal="center"/>
    </xf>
    <xf numFmtId="0" fontId="0" fillId="0" borderId="27" xfId="0" applyBorder="1" applyAlignment="1">
      <alignment horizontal="left"/>
    </xf>
    <xf numFmtId="0" fontId="0" fillId="0" borderId="28" xfId="0" applyBorder="1" applyAlignment="1">
      <alignment horizontal="left"/>
    </xf>
    <xf numFmtId="0" fontId="0" fillId="0" borderId="23" xfId="0" applyBorder="1" applyAlignment="1">
      <alignment horizontal="left"/>
    </xf>
    <xf numFmtId="0" fontId="0" fillId="0" borderId="25" xfId="0" applyBorder="1" applyAlignment="1">
      <alignment horizontal="left"/>
    </xf>
    <xf numFmtId="0" fontId="0" fillId="2" borderId="24" xfId="0" applyFill="1" applyBorder="1" applyAlignment="1">
      <alignment horizontal="right"/>
    </xf>
    <xf numFmtId="0" fontId="0" fillId="2" borderId="23" xfId="0" applyFill="1" applyBorder="1" applyAlignment="1">
      <alignment horizontal="right"/>
    </xf>
    <xf numFmtId="0" fontId="0" fillId="2" borderId="25" xfId="0" applyFill="1" applyBorder="1" applyAlignment="1">
      <alignment horizontal="right"/>
    </xf>
    <xf numFmtId="0" fontId="0" fillId="2" borderId="34" xfId="0" applyFill="1" applyBorder="1" applyAlignment="1">
      <alignment horizontal="left"/>
    </xf>
    <xf numFmtId="0" fontId="0" fillId="2" borderId="35" xfId="0" applyFill="1" applyBorder="1" applyAlignment="1">
      <alignment horizontal="center"/>
    </xf>
    <xf numFmtId="0" fontId="0" fillId="2" borderId="25" xfId="0" applyFill="1" applyBorder="1" applyAlignment="1">
      <alignment horizontal="center"/>
    </xf>
    <xf numFmtId="0" fontId="0" fillId="2" borderId="33" xfId="0" applyFill="1" applyBorder="1" applyAlignment="1">
      <alignment horizontal="right"/>
    </xf>
    <xf numFmtId="0" fontId="2" fillId="2" borderId="26" xfId="0" applyFont="1" applyFill="1" applyBorder="1" applyAlignment="1">
      <alignment horizontal="left"/>
    </xf>
    <xf numFmtId="0" fontId="2" fillId="2" borderId="27" xfId="0" applyFont="1" applyFill="1" applyBorder="1" applyAlignment="1">
      <alignment horizontal="left"/>
    </xf>
    <xf numFmtId="0" fontId="2" fillId="2" borderId="28" xfId="0" applyFont="1" applyFill="1" applyBorder="1" applyAlignment="1">
      <alignment horizontal="left"/>
    </xf>
    <xf numFmtId="0" fontId="6" fillId="0" borderId="1" xfId="0" applyFont="1" applyBorder="1" applyAlignment="1">
      <alignment horizontal="left"/>
    </xf>
    <xf numFmtId="0" fontId="0" fillId="0" borderId="16" xfId="0" applyBorder="1" applyAlignment="1">
      <alignment horizontal="left"/>
    </xf>
    <xf numFmtId="0" fontId="16" fillId="0" borderId="70" xfId="0" applyFont="1" applyBorder="1" applyAlignment="1">
      <alignment horizontal="center"/>
    </xf>
    <xf numFmtId="0" fontId="16" fillId="0" borderId="34" xfId="0" applyFont="1" applyBorder="1" applyAlignment="1">
      <alignment horizontal="center"/>
    </xf>
    <xf numFmtId="0" fontId="16" fillId="0" borderId="35" xfId="0" applyFont="1" applyBorder="1" applyAlignment="1">
      <alignment horizontal="center"/>
    </xf>
    <xf numFmtId="0" fontId="3" fillId="0" borderId="32" xfId="0" applyFont="1" applyBorder="1" applyAlignment="1">
      <alignment horizontal="center"/>
    </xf>
    <xf numFmtId="0" fontId="3" fillId="0" borderId="33" xfId="0" applyFont="1" applyBorder="1" applyAlignment="1">
      <alignment horizontal="center"/>
    </xf>
    <xf numFmtId="0" fontId="3" fillId="0" borderId="88" xfId="0" applyFont="1" applyBorder="1" applyAlignment="1">
      <alignment horizontal="center"/>
    </xf>
    <xf numFmtId="0" fontId="0" fillId="2" borderId="70" xfId="0" applyFill="1" applyBorder="1" applyAlignment="1">
      <alignment horizontal="left"/>
    </xf>
    <xf numFmtId="0" fontId="0" fillId="2" borderId="39" xfId="0" applyFill="1" applyBorder="1" applyAlignment="1">
      <alignment horizontal="left"/>
    </xf>
    <xf numFmtId="0" fontId="0" fillId="2" borderId="91" xfId="0" applyFill="1" applyBorder="1" applyAlignment="1">
      <alignment horizontal="center" vertical="center"/>
    </xf>
    <xf numFmtId="0" fontId="0" fillId="2" borderId="2" xfId="0" applyFill="1" applyBorder="1" applyAlignment="1">
      <alignment horizontal="center" vertical="center"/>
    </xf>
    <xf numFmtId="0" fontId="0" fillId="2" borderId="18" xfId="0" applyFill="1" applyBorder="1" applyAlignment="1">
      <alignment horizontal="center" vertical="center"/>
    </xf>
    <xf numFmtId="0" fontId="0" fillId="2" borderId="8" xfId="0" applyFill="1" applyBorder="1" applyAlignment="1">
      <alignment horizontal="center" vertical="center"/>
    </xf>
    <xf numFmtId="0" fontId="0" fillId="2" borderId="0" xfId="0" applyFill="1" applyAlignment="1">
      <alignment horizontal="center" vertical="center"/>
    </xf>
    <xf numFmtId="0" fontId="0" fillId="2" borderId="17" xfId="0" applyFill="1" applyBorder="1" applyAlignment="1">
      <alignment horizontal="center" vertical="center"/>
    </xf>
    <xf numFmtId="0" fontId="0" fillId="2" borderId="10" xfId="0" applyFill="1" applyBorder="1" applyAlignment="1">
      <alignment horizontal="center" vertical="center"/>
    </xf>
    <xf numFmtId="0" fontId="0" fillId="2" borderId="11" xfId="0" applyFill="1" applyBorder="1" applyAlignment="1">
      <alignment horizontal="center" vertical="center"/>
    </xf>
    <xf numFmtId="0" fontId="0" fillId="2" borderId="21" xfId="0" applyFill="1" applyBorder="1" applyAlignment="1">
      <alignment horizontal="center" vertical="center"/>
    </xf>
    <xf numFmtId="0" fontId="6" fillId="0" borderId="12" xfId="0" applyFont="1" applyBorder="1" applyAlignment="1">
      <alignment horizontal="left"/>
    </xf>
    <xf numFmtId="0" fontId="14" fillId="2" borderId="5" xfId="0" applyFont="1" applyFill="1" applyBorder="1" applyAlignment="1">
      <alignment horizontal="center"/>
    </xf>
    <xf numFmtId="0" fontId="14" fillId="2" borderId="6" xfId="0" applyFont="1" applyFill="1" applyBorder="1" applyAlignment="1">
      <alignment horizontal="center"/>
    </xf>
    <xf numFmtId="0" fontId="14" fillId="2" borderId="7" xfId="0" applyFont="1" applyFill="1" applyBorder="1" applyAlignment="1">
      <alignment horizontal="center"/>
    </xf>
    <xf numFmtId="0" fontId="0" fillId="0" borderId="5" xfId="0" applyBorder="1" applyAlignment="1">
      <alignment horizontal="center" wrapText="1"/>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10" xfId="0" applyBorder="1" applyAlignment="1">
      <alignment horizontal="center"/>
    </xf>
    <xf numFmtId="0" fontId="0" fillId="0" borderId="46" xfId="0" applyBorder="1" applyAlignment="1">
      <alignment horizontal="left"/>
    </xf>
    <xf numFmtId="0" fontId="0" fillId="0" borderId="1" xfId="0" applyBorder="1" applyAlignment="1">
      <alignment horizontal="center"/>
    </xf>
    <xf numFmtId="0" fontId="0" fillId="0" borderId="9" xfId="0" applyBorder="1" applyAlignment="1">
      <alignment horizontal="center"/>
    </xf>
    <xf numFmtId="0" fontId="2" fillId="2" borderId="70" xfId="0" applyFont="1" applyFill="1" applyBorder="1" applyAlignment="1">
      <alignment horizontal="left"/>
    </xf>
    <xf numFmtId="0" fontId="2" fillId="2" borderId="34" xfId="0" applyFont="1" applyFill="1" applyBorder="1" applyAlignment="1">
      <alignment horizontal="left"/>
    </xf>
    <xf numFmtId="0" fontId="0" fillId="0" borderId="45" xfId="0" applyBorder="1" applyAlignment="1">
      <alignment horizontal="left"/>
    </xf>
    <xf numFmtId="0" fontId="0" fillId="0" borderId="1" xfId="0" quotePrefix="1"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2" borderId="0" xfId="0" applyFill="1" applyAlignment="1">
      <alignment horizontal="left" vertical="center"/>
    </xf>
    <xf numFmtId="164" fontId="0" fillId="0" borderId="28" xfId="0" quotePrefix="1" applyNumberFormat="1" applyBorder="1" applyAlignment="1">
      <alignment horizontal="center"/>
    </xf>
    <xf numFmtId="164" fontId="0" fillId="0" borderId="1" xfId="0" applyNumberFormat="1" applyBorder="1" applyAlignment="1">
      <alignment horizontal="center"/>
    </xf>
    <xf numFmtId="0" fontId="0" fillId="0" borderId="9" xfId="0" quotePrefix="1" applyBorder="1" applyAlignment="1">
      <alignment horizontal="center"/>
    </xf>
    <xf numFmtId="164" fontId="0" fillId="0" borderId="1" xfId="0" quotePrefix="1" applyNumberFormat="1" applyBorder="1" applyAlignment="1">
      <alignment horizontal="center"/>
    </xf>
    <xf numFmtId="164" fontId="0" fillId="0" borderId="95" xfId="0" quotePrefix="1" applyNumberFormat="1" applyBorder="1" applyAlignment="1">
      <alignment horizontal="center"/>
    </xf>
    <xf numFmtId="164" fontId="0" fillId="0" borderId="96" xfId="0" quotePrefix="1" applyNumberFormat="1" applyBorder="1" applyAlignment="1">
      <alignment horizontal="center"/>
    </xf>
    <xf numFmtId="0" fontId="0" fillId="0" borderId="4" xfId="0" applyBorder="1" applyAlignment="1">
      <alignment horizontal="center"/>
    </xf>
    <xf numFmtId="0" fontId="0" fillId="0" borderId="14" xfId="0" applyBorder="1" applyAlignment="1">
      <alignment horizontal="center"/>
    </xf>
    <xf numFmtId="164" fontId="0" fillId="0" borderId="49" xfId="0" applyNumberFormat="1" applyBorder="1" applyAlignment="1">
      <alignment horizontal="center"/>
    </xf>
    <xf numFmtId="164" fontId="0" fillId="0" borderId="4" xfId="0" applyNumberFormat="1" applyBorder="1" applyAlignment="1">
      <alignment horizontal="center"/>
    </xf>
    <xf numFmtId="164" fontId="0" fillId="0" borderId="25" xfId="0" quotePrefix="1" applyNumberFormat="1" applyBorder="1" applyAlignment="1">
      <alignment horizontal="center"/>
    </xf>
    <xf numFmtId="164" fontId="0" fillId="0" borderId="12" xfId="0" applyNumberFormat="1" applyBorder="1" applyAlignment="1">
      <alignment horizontal="center"/>
    </xf>
    <xf numFmtId="0" fontId="0" fillId="0" borderId="12" xfId="0" quotePrefix="1" applyBorder="1" applyAlignment="1">
      <alignment horizontal="center"/>
    </xf>
    <xf numFmtId="0" fontId="0" fillId="2" borderId="0" xfId="0" applyFill="1" applyAlignment="1">
      <alignment horizontal="center"/>
    </xf>
    <xf numFmtId="0" fontId="0" fillId="2" borderId="77" xfId="0" applyFill="1" applyBorder="1" applyAlignment="1">
      <alignment horizontal="left"/>
    </xf>
    <xf numFmtId="0" fontId="0" fillId="2" borderId="15" xfId="0" applyFill="1" applyBorder="1" applyAlignment="1">
      <alignment horizontal="left"/>
    </xf>
    <xf numFmtId="0" fontId="0" fillId="2" borderId="1" xfId="0" applyFill="1" applyBorder="1" applyAlignment="1">
      <alignment horizontal="left"/>
    </xf>
    <xf numFmtId="0" fontId="0" fillId="2" borderId="9" xfId="0" applyFill="1" applyBorder="1" applyAlignment="1">
      <alignment horizontal="left"/>
    </xf>
    <xf numFmtId="0" fontId="0" fillId="0" borderId="59" xfId="0" applyBorder="1" applyAlignment="1">
      <alignment horizontal="center"/>
    </xf>
    <xf numFmtId="0" fontId="0" fillId="0" borderId="53" xfId="0" applyBorder="1" applyAlignment="1">
      <alignment horizontal="center"/>
    </xf>
    <xf numFmtId="0" fontId="0" fillId="0" borderId="54" xfId="0" applyBorder="1" applyAlignment="1">
      <alignment horizontal="center"/>
    </xf>
    <xf numFmtId="0" fontId="2" fillId="2" borderId="5" xfId="0" applyFont="1" applyFill="1" applyBorder="1" applyAlignment="1">
      <alignment horizontal="center"/>
    </xf>
    <xf numFmtId="0" fontId="2" fillId="2" borderId="6" xfId="0" applyFont="1" applyFill="1" applyBorder="1" applyAlignment="1">
      <alignment horizontal="center"/>
    </xf>
    <xf numFmtId="0" fontId="2" fillId="2" borderId="7" xfId="0" applyFont="1" applyFill="1" applyBorder="1" applyAlignment="1">
      <alignment horizontal="center"/>
    </xf>
    <xf numFmtId="164" fontId="0" fillId="2" borderId="0" xfId="0" applyNumberFormat="1" applyFill="1" applyAlignment="1">
      <alignment horizontal="center"/>
    </xf>
    <xf numFmtId="0" fontId="0" fillId="2" borderId="17" xfId="0" applyFill="1" applyBorder="1" applyAlignment="1">
      <alignment horizontal="center"/>
    </xf>
    <xf numFmtId="0" fontId="2" fillId="2" borderId="45" xfId="0" applyFont="1" applyFill="1" applyBorder="1" applyAlignment="1">
      <alignment horizontal="center"/>
    </xf>
    <xf numFmtId="0" fontId="2" fillId="2" borderId="27" xfId="0" applyFont="1" applyFill="1" applyBorder="1" applyAlignment="1">
      <alignment horizontal="center"/>
    </xf>
    <xf numFmtId="0" fontId="2" fillId="2" borderId="36" xfId="0" applyFont="1" applyFill="1" applyBorder="1" applyAlignment="1">
      <alignment horizontal="center"/>
    </xf>
    <xf numFmtId="0" fontId="2" fillId="2" borderId="61" xfId="0" applyFont="1" applyFill="1" applyBorder="1" applyAlignment="1">
      <alignment horizontal="center"/>
    </xf>
    <xf numFmtId="0" fontId="2" fillId="2" borderId="62" xfId="0" applyFont="1" applyFill="1" applyBorder="1" applyAlignment="1">
      <alignment horizontal="center"/>
    </xf>
    <xf numFmtId="0" fontId="2" fillId="2" borderId="63" xfId="0" applyFont="1" applyFill="1" applyBorder="1" applyAlignment="1">
      <alignment horizontal="center"/>
    </xf>
    <xf numFmtId="0" fontId="0" fillId="0" borderId="4" xfId="0" quotePrefix="1" applyBorder="1" applyAlignment="1">
      <alignment horizontal="center"/>
    </xf>
    <xf numFmtId="0" fontId="0" fillId="0" borderId="48" xfId="0" applyBorder="1" applyAlignment="1">
      <alignment horizontal="left" vertical="center" wrapText="1"/>
    </xf>
    <xf numFmtId="0" fontId="0" fillId="0" borderId="4" xfId="0" applyBorder="1" applyAlignment="1">
      <alignment horizontal="left" vertical="center" wrapText="1"/>
    </xf>
    <xf numFmtId="0" fontId="0" fillId="0" borderId="15" xfId="0" applyBorder="1" applyAlignment="1">
      <alignment horizontal="left" vertical="center" wrapText="1"/>
    </xf>
    <xf numFmtId="0" fontId="0" fillId="0" borderId="1" xfId="0" applyBorder="1" applyAlignment="1">
      <alignment horizontal="left" vertical="center" wrapText="1"/>
    </xf>
    <xf numFmtId="0" fontId="8" fillId="2" borderId="8" xfId="0" applyFont="1" applyFill="1" applyBorder="1" applyAlignment="1">
      <alignment horizontal="center" vertical="center" textRotation="90"/>
    </xf>
    <xf numFmtId="0" fontId="8" fillId="2" borderId="10" xfId="0" applyFont="1" applyFill="1" applyBorder="1" applyAlignment="1">
      <alignment horizontal="center" vertical="center" textRotation="90"/>
    </xf>
    <xf numFmtId="0" fontId="8" fillId="2" borderId="81" xfId="0" applyFont="1" applyFill="1" applyBorder="1" applyAlignment="1">
      <alignment horizontal="center" vertical="center" textRotation="90"/>
    </xf>
    <xf numFmtId="0" fontId="8" fillId="2" borderId="78" xfId="0" applyFont="1" applyFill="1" applyBorder="1" applyAlignment="1">
      <alignment horizontal="center" vertical="center" textRotation="90"/>
    </xf>
    <xf numFmtId="0" fontId="2" fillId="2" borderId="34" xfId="0" applyFont="1" applyFill="1" applyBorder="1" applyAlignment="1">
      <alignment horizontal="center"/>
    </xf>
    <xf numFmtId="0" fontId="0" fillId="2" borderId="80" xfId="0" applyFill="1" applyBorder="1" applyAlignment="1">
      <alignment horizontal="center"/>
    </xf>
    <xf numFmtId="0" fontId="0" fillId="0" borderId="96" xfId="0" quotePrefix="1" applyBorder="1" applyAlignment="1">
      <alignment horizontal="center"/>
    </xf>
    <xf numFmtId="0" fontId="0" fillId="0" borderId="28" xfId="0" quotePrefix="1" applyBorder="1" applyAlignment="1">
      <alignment horizontal="center"/>
    </xf>
    <xf numFmtId="0" fontId="11" fillId="0" borderId="7" xfId="0" applyFont="1" applyBorder="1" applyAlignment="1">
      <alignment horizontal="center" vertical="center" textRotation="90"/>
    </xf>
    <xf numFmtId="0" fontId="11" fillId="0" borderId="17" xfId="0" applyFont="1" applyBorder="1" applyAlignment="1">
      <alignment horizontal="center" vertical="center" textRotation="90"/>
    </xf>
    <xf numFmtId="0" fontId="11" fillId="0" borderId="21" xfId="0" applyFont="1" applyBorder="1" applyAlignment="1">
      <alignment horizontal="center" vertical="center" textRotation="90"/>
    </xf>
    <xf numFmtId="0" fontId="0" fillId="2" borderId="12" xfId="0" applyFill="1" applyBorder="1" applyAlignment="1">
      <alignment horizontal="left"/>
    </xf>
    <xf numFmtId="0" fontId="0" fillId="2" borderId="13" xfId="0" applyFill="1" applyBorder="1" applyAlignment="1">
      <alignment horizontal="left"/>
    </xf>
    <xf numFmtId="0" fontId="0" fillId="2" borderId="19" xfId="0" applyFill="1" applyBorder="1" applyAlignment="1">
      <alignment horizontal="left"/>
    </xf>
    <xf numFmtId="0" fontId="0" fillId="2" borderId="20" xfId="0" applyFill="1" applyBorder="1" applyAlignment="1">
      <alignment horizontal="left"/>
    </xf>
    <xf numFmtId="0" fontId="0" fillId="0" borderId="14" xfId="0" quotePrefix="1" applyBorder="1" applyAlignment="1">
      <alignment horizontal="center"/>
    </xf>
    <xf numFmtId="0" fontId="8" fillId="2" borderId="5" xfId="0" applyFont="1" applyFill="1" applyBorder="1" applyAlignment="1">
      <alignment horizontal="center" vertical="center" textRotation="90"/>
    </xf>
    <xf numFmtId="164" fontId="10" fillId="2" borderId="50" xfId="0" applyNumberFormat="1" applyFont="1" applyFill="1" applyBorder="1" applyAlignment="1">
      <alignment horizontal="center" vertical="center"/>
    </xf>
    <xf numFmtId="0" fontId="10" fillId="2" borderId="19" xfId="0" applyFont="1" applyFill="1" applyBorder="1" applyAlignment="1">
      <alignment horizontal="center" vertical="center"/>
    </xf>
    <xf numFmtId="0" fontId="10" fillId="2" borderId="20"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 xfId="0" applyFont="1" applyFill="1" applyBorder="1" applyAlignment="1">
      <alignment horizontal="center" vertical="center"/>
    </xf>
    <xf numFmtId="0" fontId="10" fillId="2" borderId="9" xfId="0" applyFont="1" applyFill="1" applyBorder="1" applyAlignment="1">
      <alignment horizontal="center" vertical="center"/>
    </xf>
    <xf numFmtId="0" fontId="2" fillId="2" borderId="5" xfId="0" applyFont="1" applyFill="1" applyBorder="1" applyAlignment="1">
      <alignment horizontal="center" vertical="center" textRotation="90"/>
    </xf>
    <xf numFmtId="0" fontId="2" fillId="2" borderId="8" xfId="0" applyFont="1" applyFill="1" applyBorder="1" applyAlignment="1">
      <alignment horizontal="center" vertical="center" textRotation="90"/>
    </xf>
    <xf numFmtId="0" fontId="2" fillId="2" borderId="10" xfId="0" applyFont="1" applyFill="1" applyBorder="1" applyAlignment="1">
      <alignment horizontal="center" vertical="center" textRotation="90"/>
    </xf>
    <xf numFmtId="0" fontId="2" fillId="2" borderId="0" xfId="0" applyFont="1" applyFill="1" applyAlignment="1">
      <alignment horizontal="left" vertical="center"/>
    </xf>
    <xf numFmtId="0" fontId="2" fillId="2" borderId="5" xfId="0" applyFont="1" applyFill="1" applyBorder="1" applyAlignment="1">
      <alignment horizontal="left"/>
    </xf>
    <xf numFmtId="0" fontId="2" fillId="2" borderId="6" xfId="0" applyFont="1" applyFill="1" applyBorder="1" applyAlignment="1">
      <alignment horizontal="left"/>
    </xf>
    <xf numFmtId="164" fontId="0" fillId="2" borderId="26" xfId="0" quotePrefix="1" applyNumberFormat="1" applyFill="1" applyBorder="1" applyAlignment="1">
      <alignment horizontal="center"/>
    </xf>
    <xf numFmtId="0" fontId="0" fillId="2" borderId="28" xfId="0" quotePrefix="1" applyFill="1" applyBorder="1" applyAlignment="1">
      <alignment horizontal="center"/>
    </xf>
    <xf numFmtId="167" fontId="0" fillId="2" borderId="1" xfId="2" quotePrefix="1" applyNumberFormat="1" applyFont="1" applyFill="1" applyBorder="1" applyAlignment="1">
      <alignment horizontal="center"/>
    </xf>
    <xf numFmtId="167" fontId="0" fillId="2" borderId="26" xfId="2" applyNumberFormat="1" applyFont="1" applyFill="1" applyBorder="1" applyAlignment="1">
      <alignment horizontal="center"/>
    </xf>
    <xf numFmtId="0" fontId="0" fillId="0" borderId="9" xfId="0" applyBorder="1" applyAlignment="1">
      <alignment horizontal="center" vertical="center"/>
    </xf>
    <xf numFmtId="0" fontId="0" fillId="0" borderId="13" xfId="0" applyBorder="1" applyAlignment="1">
      <alignment horizontal="center" vertical="center"/>
    </xf>
    <xf numFmtId="0" fontId="0" fillId="0" borderId="1" xfId="0" applyBorder="1" applyAlignment="1">
      <alignment horizontal="center" vertical="center"/>
    </xf>
    <xf numFmtId="0" fontId="0" fillId="0" borderId="12" xfId="0" applyBorder="1" applyAlignment="1">
      <alignment horizontal="center" vertical="center"/>
    </xf>
    <xf numFmtId="164" fontId="2" fillId="0" borderId="15" xfId="0" applyNumberFormat="1" applyFont="1" applyBorder="1" applyAlignment="1">
      <alignment horizontal="center" vertical="center" wrapText="1"/>
    </xf>
    <xf numFmtId="0" fontId="2" fillId="0" borderId="16" xfId="0" applyFont="1" applyBorder="1" applyAlignment="1">
      <alignment horizontal="center" vertical="center" wrapText="1"/>
    </xf>
    <xf numFmtId="167" fontId="0" fillId="2" borderId="43" xfId="0" applyNumberFormat="1" applyFill="1" applyBorder="1" applyAlignment="1">
      <alignment horizontal="center"/>
    </xf>
    <xf numFmtId="0" fontId="0" fillId="2" borderId="26" xfId="0" quotePrefix="1" applyFill="1" applyBorder="1" applyAlignment="1">
      <alignment horizontal="center"/>
    </xf>
    <xf numFmtId="167" fontId="0" fillId="2" borderId="43" xfId="2" applyNumberFormat="1" applyFont="1" applyFill="1" applyBorder="1" applyAlignment="1">
      <alignment horizontal="center"/>
    </xf>
    <xf numFmtId="167" fontId="0" fillId="2" borderId="52" xfId="2" applyNumberFormat="1" applyFont="1" applyFill="1" applyBorder="1" applyAlignment="1">
      <alignment horizontal="center"/>
    </xf>
    <xf numFmtId="0" fontId="2" fillId="2" borderId="7" xfId="0" applyFont="1" applyFill="1" applyBorder="1" applyAlignment="1">
      <alignment horizontal="left"/>
    </xf>
    <xf numFmtId="0" fontId="0" fillId="2" borderId="48" xfId="0" applyFill="1" applyBorder="1" applyAlignment="1">
      <alignment horizontal="left"/>
    </xf>
    <xf numFmtId="0" fontId="0" fillId="2" borderId="4" xfId="0" applyFill="1" applyBorder="1" applyAlignment="1">
      <alignment horizontal="left"/>
    </xf>
    <xf numFmtId="0" fontId="0" fillId="2" borderId="14" xfId="0" applyFill="1" applyBorder="1" applyAlignment="1">
      <alignment horizontal="left"/>
    </xf>
    <xf numFmtId="0" fontId="0" fillId="2" borderId="1" xfId="0" quotePrefix="1" applyFill="1" applyBorder="1" applyAlignment="1">
      <alignment horizontal="center"/>
    </xf>
    <xf numFmtId="167" fontId="0" fillId="2" borderId="28" xfId="0" applyNumberFormat="1" applyFill="1" applyBorder="1"/>
    <xf numFmtId="0" fontId="0" fillId="2" borderId="16" xfId="0" applyFill="1" applyBorder="1" applyAlignment="1">
      <alignment horizontal="left"/>
    </xf>
    <xf numFmtId="0" fontId="0" fillId="0" borderId="93" xfId="0" applyBorder="1" applyAlignment="1">
      <alignment horizontal="left"/>
    </xf>
    <xf numFmtId="0" fontId="0" fillId="0" borderId="94" xfId="0" applyBorder="1" applyAlignment="1">
      <alignment horizontal="left"/>
    </xf>
    <xf numFmtId="0" fontId="2" fillId="2" borderId="92" xfId="0" applyFont="1" applyFill="1" applyBorder="1" applyAlignment="1">
      <alignment horizontal="left"/>
    </xf>
    <xf numFmtId="0" fontId="2" fillId="2" borderId="93" xfId="0" applyFont="1" applyFill="1" applyBorder="1" applyAlignment="1">
      <alignment horizontal="left"/>
    </xf>
    <xf numFmtId="0" fontId="0" fillId="0" borderId="1" xfId="0" quotePrefix="1" applyBorder="1" applyAlignment="1">
      <alignment horizontal="center" vertical="center"/>
    </xf>
    <xf numFmtId="0" fontId="0" fillId="2" borderId="82" xfId="0" applyFill="1" applyBorder="1" applyAlignment="1">
      <alignment horizontal="center"/>
    </xf>
    <xf numFmtId="164" fontId="0" fillId="0" borderId="49" xfId="0" quotePrefix="1" applyNumberFormat="1" applyBorder="1" applyAlignment="1">
      <alignment horizontal="center"/>
    </xf>
    <xf numFmtId="164" fontId="0" fillId="0" borderId="4" xfId="0" quotePrefix="1" applyNumberFormat="1" applyBorder="1" applyAlignment="1">
      <alignment horizontal="center"/>
    </xf>
    <xf numFmtId="0" fontId="0" fillId="2" borderId="99" xfId="0" applyFill="1" applyBorder="1" applyAlignment="1">
      <alignment horizontal="left"/>
    </xf>
    <xf numFmtId="0" fontId="0" fillId="2" borderId="100" xfId="0" applyFill="1" applyBorder="1" applyAlignment="1">
      <alignment horizontal="left"/>
    </xf>
    <xf numFmtId="0" fontId="0" fillId="2" borderId="102" xfId="0" applyFill="1" applyBorder="1" applyAlignment="1">
      <alignment horizontal="left"/>
    </xf>
    <xf numFmtId="0" fontId="0" fillId="2" borderId="103" xfId="0" applyFill="1" applyBorder="1" applyAlignment="1">
      <alignment horizontal="left"/>
    </xf>
    <xf numFmtId="0" fontId="0" fillId="2" borderId="28" xfId="0" applyFill="1" applyBorder="1" applyAlignment="1">
      <alignment horizontal="left"/>
    </xf>
    <xf numFmtId="0" fontId="0" fillId="2" borderId="10" xfId="0" applyFill="1" applyBorder="1" applyAlignment="1">
      <alignment horizontal="right"/>
    </xf>
    <xf numFmtId="0" fontId="0" fillId="2" borderId="11" xfId="0" applyFill="1" applyBorder="1" applyAlignment="1">
      <alignment horizontal="right"/>
    </xf>
    <xf numFmtId="0" fontId="2" fillId="2" borderId="8" xfId="0" applyFont="1" applyFill="1" applyBorder="1" applyAlignment="1">
      <alignment horizontal="left"/>
    </xf>
    <xf numFmtId="0" fontId="2" fillId="2" borderId="0" xfId="0" applyFont="1" applyFill="1" applyAlignment="1">
      <alignment horizontal="left"/>
    </xf>
    <xf numFmtId="0" fontId="2" fillId="2" borderId="10" xfId="0" applyFont="1" applyFill="1" applyBorder="1" applyAlignment="1">
      <alignment horizontal="left"/>
    </xf>
    <xf numFmtId="0" fontId="2" fillId="2" borderId="11" xfId="0" applyFont="1" applyFill="1" applyBorder="1" applyAlignment="1">
      <alignment horizontal="left"/>
    </xf>
    <xf numFmtId="0" fontId="0" fillId="0" borderId="9" xfId="0" quotePrefix="1" applyBorder="1" applyAlignment="1">
      <alignment horizontal="center" vertical="center"/>
    </xf>
    <xf numFmtId="0" fontId="0" fillId="0" borderId="97" xfId="0" quotePrefix="1" applyBorder="1" applyAlignment="1">
      <alignment horizontal="center"/>
    </xf>
    <xf numFmtId="0" fontId="2" fillId="2" borderId="62" xfId="0" applyFont="1" applyFill="1" applyBorder="1" applyAlignment="1">
      <alignment horizontal="left" vertical="center"/>
    </xf>
    <xf numFmtId="0" fontId="2" fillId="2" borderId="53" xfId="0" applyFont="1" applyFill="1" applyBorder="1" applyAlignment="1">
      <alignment horizontal="left" vertical="center"/>
    </xf>
    <xf numFmtId="0" fontId="0" fillId="2" borderId="49" xfId="0" applyFill="1" applyBorder="1" applyAlignment="1">
      <alignment horizontal="left"/>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16" fillId="2" borderId="5" xfId="0" applyFont="1" applyFill="1" applyBorder="1" applyAlignment="1">
      <alignment horizontal="center"/>
    </xf>
    <xf numFmtId="0" fontId="16" fillId="2" borderId="6" xfId="0" applyFont="1" applyFill="1" applyBorder="1" applyAlignment="1">
      <alignment horizontal="center"/>
    </xf>
    <xf numFmtId="0" fontId="16" fillId="2" borderId="7" xfId="0" applyFont="1" applyFill="1" applyBorder="1" applyAlignment="1">
      <alignment horizontal="center"/>
    </xf>
    <xf numFmtId="0" fontId="0" fillId="2" borderId="11" xfId="0" applyFill="1" applyBorder="1" applyAlignment="1">
      <alignment horizontal="center"/>
    </xf>
    <xf numFmtId="0" fontId="2" fillId="2" borderId="8" xfId="0" applyFont="1" applyFill="1" applyBorder="1" applyAlignment="1">
      <alignment horizontal="center"/>
    </xf>
    <xf numFmtId="0" fontId="2" fillId="2" borderId="0" xfId="0" applyFont="1" applyFill="1" applyAlignment="1">
      <alignment horizontal="center"/>
    </xf>
    <xf numFmtId="0" fontId="0" fillId="0" borderId="66" xfId="0" applyBorder="1" applyAlignment="1">
      <alignment horizontal="center"/>
    </xf>
    <xf numFmtId="0" fontId="0" fillId="0" borderId="67" xfId="0" applyBorder="1" applyAlignment="1">
      <alignment horizontal="center"/>
    </xf>
    <xf numFmtId="0" fontId="0" fillId="0" borderId="68" xfId="0" applyBorder="1" applyAlignment="1">
      <alignment horizontal="center"/>
    </xf>
    <xf numFmtId="0" fontId="0" fillId="0" borderId="69" xfId="0" applyBorder="1" applyAlignment="1">
      <alignment horizontal="center"/>
    </xf>
    <xf numFmtId="0" fontId="0" fillId="0" borderId="55" xfId="0" applyBorder="1" applyAlignment="1">
      <alignment horizontal="center"/>
    </xf>
    <xf numFmtId="0" fontId="0" fillId="0" borderId="56" xfId="0" applyBorder="1" applyAlignment="1">
      <alignment horizontal="center"/>
    </xf>
    <xf numFmtId="0" fontId="0" fillId="0" borderId="60" xfId="0" applyBorder="1" applyAlignment="1">
      <alignment horizontal="center"/>
    </xf>
    <xf numFmtId="0" fontId="0" fillId="0" borderId="57" xfId="0" applyBorder="1" applyAlignment="1">
      <alignment horizontal="center"/>
    </xf>
    <xf numFmtId="0" fontId="0" fillId="0" borderId="58" xfId="0" applyBorder="1" applyAlignment="1">
      <alignment horizontal="center"/>
    </xf>
    <xf numFmtId="0" fontId="0" fillId="0" borderId="98" xfId="0" applyBorder="1" applyAlignment="1">
      <alignment horizontal="left" vertical="center" wrapText="1"/>
    </xf>
    <xf numFmtId="0" fontId="0" fillId="0" borderId="96" xfId="0" applyBorder="1" applyAlignment="1">
      <alignment horizontal="left" vertical="center" wrapText="1"/>
    </xf>
    <xf numFmtId="0" fontId="16" fillId="0" borderId="14" xfId="0" quotePrefix="1" applyFont="1" applyBorder="1" applyAlignment="1">
      <alignment horizontal="center" vertical="center" wrapText="1"/>
    </xf>
    <xf numFmtId="0" fontId="16" fillId="0" borderId="9" xfId="0" quotePrefix="1" applyFont="1" applyBorder="1" applyAlignment="1">
      <alignment horizontal="center" vertical="center" wrapText="1"/>
    </xf>
    <xf numFmtId="0" fontId="16" fillId="0" borderId="97" xfId="0" quotePrefix="1" applyFont="1" applyBorder="1" applyAlignment="1">
      <alignment horizontal="center" vertical="center" wrapText="1"/>
    </xf>
    <xf numFmtId="0" fontId="0" fillId="0" borderId="48" xfId="0" applyBorder="1" applyAlignment="1">
      <alignment horizontal="center" vertical="center" wrapText="1"/>
    </xf>
    <xf numFmtId="0" fontId="0" fillId="0" borderId="4" xfId="0" applyBorder="1" applyAlignment="1">
      <alignment horizontal="center" vertical="center" wrapText="1"/>
    </xf>
    <xf numFmtId="0" fontId="0" fillId="0" borderId="15" xfId="0" applyBorder="1" applyAlignment="1">
      <alignment horizontal="center" vertical="center" wrapText="1"/>
    </xf>
    <xf numFmtId="0" fontId="0" fillId="0" borderId="1" xfId="0" applyBorder="1" applyAlignment="1">
      <alignment horizontal="center" vertical="center" wrapText="1"/>
    </xf>
    <xf numFmtId="0" fontId="0" fillId="0" borderId="16" xfId="0" applyBorder="1" applyAlignment="1">
      <alignment horizontal="center" vertical="center" wrapText="1"/>
    </xf>
    <xf numFmtId="0" fontId="0" fillId="0" borderId="12" xfId="0" applyBorder="1" applyAlignment="1">
      <alignment horizontal="center" vertical="center" wrapText="1"/>
    </xf>
    <xf numFmtId="0" fontId="16" fillId="0" borderId="13" xfId="0" quotePrefix="1" applyFont="1" applyBorder="1" applyAlignment="1">
      <alignment horizontal="center" vertical="center" wrapText="1"/>
    </xf>
    <xf numFmtId="0" fontId="0" fillId="0" borderId="16" xfId="0" applyBorder="1" applyAlignment="1">
      <alignment horizontal="left" vertical="center" wrapText="1"/>
    </xf>
    <xf numFmtId="0" fontId="0" fillId="0" borderId="12" xfId="0" applyBorder="1" applyAlignment="1">
      <alignment horizontal="left" vertical="center" wrapText="1"/>
    </xf>
    <xf numFmtId="0" fontId="23" fillId="0" borderId="8" xfId="0" applyFont="1" applyBorder="1" applyAlignment="1">
      <alignment horizontal="center" vertical="center"/>
    </xf>
    <xf numFmtId="0" fontId="23" fillId="0" borderId="0" xfId="0" applyFont="1" applyAlignment="1">
      <alignment horizontal="center" vertical="center"/>
    </xf>
    <xf numFmtId="0" fontId="23" fillId="0" borderId="17" xfId="0" applyFont="1" applyBorder="1" applyAlignment="1">
      <alignment horizontal="center" vertical="center"/>
    </xf>
    <xf numFmtId="0" fontId="23" fillId="0" borderId="10" xfId="0" applyFont="1" applyBorder="1" applyAlignment="1">
      <alignment horizontal="center" vertical="center"/>
    </xf>
    <xf numFmtId="0" fontId="23" fillId="0" borderId="11" xfId="0" applyFont="1" applyBorder="1" applyAlignment="1">
      <alignment horizontal="center" vertical="center"/>
    </xf>
    <xf numFmtId="0" fontId="23" fillId="0" borderId="21" xfId="0" applyFont="1" applyBorder="1" applyAlignment="1">
      <alignment horizontal="center" vertical="center"/>
    </xf>
    <xf numFmtId="164" fontId="23" fillId="0" borderId="8" xfId="0" applyNumberFormat="1" applyFont="1" applyBorder="1" applyAlignment="1">
      <alignment horizontal="center" vertical="center"/>
    </xf>
    <xf numFmtId="164" fontId="23" fillId="0" borderId="0" xfId="0" applyNumberFormat="1" applyFont="1" applyAlignment="1">
      <alignment horizontal="center" vertical="center"/>
    </xf>
    <xf numFmtId="164" fontId="23" fillId="0" borderId="17" xfId="0" applyNumberFormat="1" applyFont="1" applyBorder="1" applyAlignment="1">
      <alignment horizontal="center" vertical="center"/>
    </xf>
    <xf numFmtId="164" fontId="23" fillId="0" borderId="10" xfId="0" applyNumberFormat="1" applyFont="1" applyBorder="1" applyAlignment="1">
      <alignment horizontal="center" vertical="center"/>
    </xf>
    <xf numFmtId="164" fontId="23" fillId="0" borderId="11" xfId="0" applyNumberFormat="1" applyFont="1" applyBorder="1" applyAlignment="1">
      <alignment horizontal="center" vertical="center"/>
    </xf>
    <xf numFmtId="164" fontId="23" fillId="0" borderId="21" xfId="0" applyNumberFormat="1" applyFont="1" applyBorder="1" applyAlignment="1">
      <alignment horizontal="center" vertical="center"/>
    </xf>
    <xf numFmtId="0" fontId="2" fillId="0" borderId="15" xfId="0" applyFont="1" applyBorder="1" applyAlignment="1">
      <alignment horizontal="left"/>
    </xf>
    <xf numFmtId="0" fontId="2" fillId="0" borderId="1" xfId="0" applyFont="1" applyBorder="1" applyAlignment="1">
      <alignment horizontal="left"/>
    </xf>
    <xf numFmtId="0" fontId="2" fillId="0" borderId="98" xfId="0" applyFont="1" applyBorder="1" applyAlignment="1">
      <alignment horizontal="left"/>
    </xf>
    <xf numFmtId="0" fontId="2" fillId="0" borderId="96" xfId="0" applyFont="1" applyBorder="1" applyAlignment="1">
      <alignment horizontal="left"/>
    </xf>
    <xf numFmtId="0" fontId="0" fillId="0" borderId="48"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2" fillId="2" borderId="50" xfId="0" applyFont="1" applyFill="1" applyBorder="1" applyAlignment="1">
      <alignment horizontal="center"/>
    </xf>
    <xf numFmtId="0" fontId="2" fillId="2" borderId="19" xfId="0" applyFont="1" applyFill="1" applyBorder="1" applyAlignment="1">
      <alignment horizontal="center"/>
    </xf>
    <xf numFmtId="0" fontId="2" fillId="2" borderId="20" xfId="0" applyFont="1" applyFill="1" applyBorder="1" applyAlignment="1">
      <alignment horizontal="center"/>
    </xf>
    <xf numFmtId="0" fontId="2" fillId="0" borderId="45" xfId="0" applyFont="1" applyBorder="1" applyAlignment="1">
      <alignment horizontal="center"/>
    </xf>
    <xf numFmtId="0" fontId="2" fillId="0" borderId="27" xfId="0" applyFont="1" applyBorder="1" applyAlignment="1">
      <alignment horizontal="center"/>
    </xf>
    <xf numFmtId="0" fontId="2" fillId="0" borderId="107" xfId="0" applyFont="1" applyBorder="1" applyAlignment="1">
      <alignment horizontal="center"/>
    </xf>
    <xf numFmtId="0" fontId="2" fillId="0" borderId="36" xfId="0" applyFont="1" applyBorder="1" applyAlignment="1">
      <alignment horizontal="center"/>
    </xf>
    <xf numFmtId="0" fontId="2" fillId="0" borderId="105" xfId="0" applyFont="1" applyBorder="1" applyAlignment="1">
      <alignment horizontal="left"/>
    </xf>
    <xf numFmtId="0" fontId="2" fillId="0" borderId="110" xfId="0" applyFont="1" applyBorder="1" applyAlignment="1">
      <alignment horizontal="left"/>
    </xf>
    <xf numFmtId="0" fontId="0" fillId="0" borderId="108" xfId="0" applyBorder="1" applyAlignment="1">
      <alignment horizontal="center"/>
    </xf>
    <xf numFmtId="0" fontId="0" fillId="0" borderId="105" xfId="0" applyBorder="1" applyAlignment="1">
      <alignment horizontal="center"/>
    </xf>
    <xf numFmtId="0" fontId="0" fillId="0" borderId="106" xfId="0" applyBorder="1" applyAlignment="1">
      <alignment horizontal="center"/>
    </xf>
    <xf numFmtId="164" fontId="9" fillId="0" borderId="7" xfId="1" applyNumberFormat="1" applyFont="1" applyBorder="1" applyAlignment="1">
      <alignment horizontal="center" vertical="center" textRotation="90"/>
    </xf>
    <xf numFmtId="164" fontId="9" fillId="0" borderId="17" xfId="1" applyNumberFormat="1" applyFont="1" applyBorder="1" applyAlignment="1">
      <alignment horizontal="center" vertical="center" textRotation="90"/>
    </xf>
    <xf numFmtId="164" fontId="9" fillId="0" borderId="21" xfId="1" applyNumberFormat="1" applyFont="1" applyBorder="1" applyAlignment="1">
      <alignment horizontal="center" vertical="center" textRotation="90"/>
    </xf>
    <xf numFmtId="0" fontId="0" fillId="0" borderId="0" xfId="0" applyAlignment="1">
      <alignment horizontal="center" vertical="center" textRotation="90"/>
    </xf>
    <xf numFmtId="0" fontId="0" fillId="0" borderId="2" xfId="0" applyBorder="1" applyAlignment="1">
      <alignment horizontal="left"/>
    </xf>
    <xf numFmtId="0" fontId="0" fillId="0" borderId="3" xfId="0" applyBorder="1" applyAlignment="1">
      <alignment horizontal="left"/>
    </xf>
    <xf numFmtId="0" fontId="0" fillId="6" borderId="0" xfId="0" applyFill="1" applyBorder="1" applyAlignment="1">
      <alignment horizontal="center" vertical="top" wrapText="1"/>
    </xf>
  </cellXfs>
  <cellStyles count="3">
    <cellStyle name="Comma" xfId="2" builtinId="3"/>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22/11/relationships/FeaturePropertyBag" Target="featurePropertyBag/featurePropertyBag.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A3FF1-7582-4A17-9978-2CECC4DFE882}">
  <sheetPr>
    <tabColor theme="9" tint="0.79998168889431442"/>
  </sheetPr>
  <dimension ref="A1:AK184"/>
  <sheetViews>
    <sheetView tabSelected="1" workbookViewId="0">
      <pane xSplit="11" ySplit="2" topLeftCell="L3" activePane="bottomRight" state="frozen"/>
      <selection pane="topRight" activeCell="F1" sqref="F1"/>
      <selection pane="bottomLeft" activeCell="A3" sqref="A3"/>
      <selection pane="bottomRight" activeCell="A3" sqref="A3:F37"/>
    </sheetView>
  </sheetViews>
  <sheetFormatPr defaultRowHeight="15" x14ac:dyDescent="0.25"/>
  <cols>
    <col min="7" max="7" width="9.28515625" style="139" customWidth="1"/>
    <col min="8" max="10" width="9.28515625" customWidth="1"/>
    <col min="11" max="11" width="2" style="139" customWidth="1"/>
    <col min="12" max="32" width="9.28515625" customWidth="1"/>
  </cols>
  <sheetData>
    <row r="1" spans="1:33" ht="93" x14ac:dyDescent="1.4">
      <c r="A1" s="278" t="s">
        <v>972</v>
      </c>
      <c r="B1" s="278"/>
      <c r="C1" s="278"/>
      <c r="D1" s="278"/>
      <c r="E1" s="278"/>
      <c r="F1" s="278"/>
      <c r="G1" s="276" t="s">
        <v>0</v>
      </c>
      <c r="H1" s="276"/>
      <c r="I1" s="276"/>
      <c r="J1" s="276"/>
      <c r="K1" s="276"/>
      <c r="L1" s="276"/>
      <c r="M1" s="276"/>
      <c r="N1" s="276"/>
      <c r="O1" s="276"/>
      <c r="P1" s="276"/>
      <c r="Q1" s="276"/>
      <c r="R1" s="276"/>
      <c r="S1" s="276"/>
      <c r="T1" s="276"/>
      <c r="U1" s="276"/>
      <c r="V1" s="276"/>
      <c r="W1" s="276"/>
      <c r="X1" s="276"/>
      <c r="Y1" s="276"/>
      <c r="Z1" s="276"/>
      <c r="AA1" s="276"/>
      <c r="AB1" s="276"/>
      <c r="AC1" s="276"/>
      <c r="AD1" s="276"/>
      <c r="AE1" s="276"/>
      <c r="AF1" s="276"/>
      <c r="AG1" s="276"/>
    </row>
    <row r="2" spans="1:33" ht="21.75" thickBot="1" x14ac:dyDescent="0.4">
      <c r="A2" s="279"/>
      <c r="B2" s="279"/>
      <c r="C2" s="279"/>
      <c r="D2" s="279"/>
      <c r="E2" s="279"/>
      <c r="F2" s="279"/>
      <c r="G2" s="277" t="s">
        <v>971</v>
      </c>
      <c r="H2" s="277"/>
      <c r="I2" s="277"/>
      <c r="J2" s="277"/>
      <c r="K2" s="277"/>
      <c r="L2" s="277"/>
      <c r="M2" s="277"/>
      <c r="N2" s="277"/>
      <c r="O2" s="277"/>
      <c r="P2" s="277"/>
      <c r="Q2" s="277"/>
      <c r="R2" s="277"/>
      <c r="S2" s="277"/>
      <c r="T2" s="277"/>
      <c r="U2" s="277"/>
      <c r="V2" s="277"/>
      <c r="W2" s="277"/>
      <c r="X2" s="277"/>
      <c r="Y2" s="277"/>
      <c r="Z2" s="277"/>
      <c r="AA2" s="277"/>
      <c r="AB2" s="277"/>
      <c r="AC2" s="277"/>
      <c r="AD2" s="277"/>
      <c r="AE2" s="277"/>
      <c r="AF2" s="277"/>
      <c r="AG2" s="277"/>
    </row>
    <row r="3" spans="1:33" ht="15.75" thickBot="1" x14ac:dyDescent="0.3">
      <c r="A3" s="444" t="s">
        <v>981</v>
      </c>
      <c r="B3" s="445"/>
      <c r="C3" s="445"/>
      <c r="D3" s="445"/>
      <c r="E3" s="445"/>
      <c r="F3" s="446"/>
      <c r="G3" s="274" t="s">
        <v>695</v>
      </c>
      <c r="H3" s="275"/>
      <c r="I3" s="275"/>
      <c r="J3" s="275"/>
      <c r="K3" s="143"/>
      <c r="L3" s="137" t="s">
        <v>697</v>
      </c>
      <c r="M3" s="140"/>
      <c r="N3" s="141" t="s">
        <v>698</v>
      </c>
      <c r="O3" s="142" t="s">
        <v>312</v>
      </c>
      <c r="P3" s="142" t="s">
        <v>68</v>
      </c>
      <c r="Q3" s="142" t="s">
        <v>66</v>
      </c>
      <c r="R3" s="142" t="s">
        <v>65</v>
      </c>
      <c r="S3" s="142" t="s">
        <v>313</v>
      </c>
      <c r="T3" s="142" t="s">
        <v>67</v>
      </c>
      <c r="U3" s="142" t="s">
        <v>314</v>
      </c>
      <c r="V3" s="142" t="s">
        <v>315</v>
      </c>
      <c r="W3" s="142" t="s">
        <v>69</v>
      </c>
      <c r="X3" s="142" t="s">
        <v>316</v>
      </c>
      <c r="Y3" s="142" t="s">
        <v>60</v>
      </c>
      <c r="Z3" s="142" t="s">
        <v>61</v>
      </c>
      <c r="AA3" s="142" t="s">
        <v>62</v>
      </c>
      <c r="AB3" s="142" t="s">
        <v>63</v>
      </c>
      <c r="AC3" s="142" t="s">
        <v>47</v>
      </c>
      <c r="AD3" s="142" t="s">
        <v>317</v>
      </c>
      <c r="AE3" s="142" t="s">
        <v>70</v>
      </c>
      <c r="AF3" s="142" t="s">
        <v>31</v>
      </c>
      <c r="AG3" s="68" t="s">
        <v>43</v>
      </c>
    </row>
    <row r="4" spans="1:33" ht="15" customHeight="1" x14ac:dyDescent="0.25">
      <c r="A4" s="447"/>
      <c r="B4" s="448"/>
      <c r="C4" s="448"/>
      <c r="D4" s="448"/>
      <c r="E4" s="448"/>
      <c r="F4" s="449"/>
      <c r="G4" s="440" t="s">
        <v>7</v>
      </c>
      <c r="H4" s="431" t="s">
        <v>696</v>
      </c>
      <c r="I4" s="432"/>
      <c r="J4" s="433"/>
      <c r="K4" s="144"/>
      <c r="L4" s="307" t="s">
        <v>696</v>
      </c>
      <c r="M4" s="308"/>
      <c r="N4" s="26" t="e">
        <f t="shared" ref="N4:N37" si="0">VLOOKUP($L4,Table_Race,2,FALSE)</f>
        <v>#N/A</v>
      </c>
      <c r="O4" s="26" t="e">
        <f t="shared" ref="O4:O37" si="1">VLOOKUP($L4,Table_Race,3,FALSE)</f>
        <v>#N/A</v>
      </c>
      <c r="P4" s="26" t="e">
        <f t="shared" ref="P4:P37" si="2">VLOOKUP($L4,Table_Race,4,FALSE)</f>
        <v>#N/A</v>
      </c>
      <c r="Q4" s="26" t="e">
        <f t="shared" ref="Q4:Q37" si="3">VLOOKUP($L4,Table_Race,5,FALSE)</f>
        <v>#N/A</v>
      </c>
      <c r="R4" s="26" t="e">
        <f t="shared" ref="R4:R37" si="4">VLOOKUP($L4,Table_Race,6,FALSE)</f>
        <v>#N/A</v>
      </c>
      <c r="S4" s="26" t="e">
        <f t="shared" ref="S4:S37" si="5">VLOOKUP($L4,Table_Race,7,FALSE)</f>
        <v>#N/A</v>
      </c>
      <c r="T4" s="26" t="e">
        <f t="shared" ref="T4:T37" si="6">VLOOKUP($L4,Table_Race,8,FALSE)</f>
        <v>#N/A</v>
      </c>
      <c r="U4" s="26" t="e">
        <f t="shared" ref="U4:U37" si="7">VLOOKUP($L4,Table_Race,9,FALSE)</f>
        <v>#N/A</v>
      </c>
      <c r="V4" s="26" t="e">
        <f t="shared" ref="V4:V37" si="8">VLOOKUP($L4,Table_Race,10,FALSE)</f>
        <v>#N/A</v>
      </c>
      <c r="W4" s="26" t="e">
        <f t="shared" ref="W4:W37" si="9">VLOOKUP($L4,Table_Race,11,FALSE)</f>
        <v>#N/A</v>
      </c>
      <c r="X4" s="26" t="e">
        <f t="shared" ref="X4:X37" si="10">VLOOKUP($L4,Table_Race,12,FALSE)</f>
        <v>#N/A</v>
      </c>
      <c r="Y4" s="26" t="e">
        <f t="shared" ref="Y4:Y37" si="11">VLOOKUP($L4,Table_Race,13,FALSE)</f>
        <v>#N/A</v>
      </c>
      <c r="Z4" s="26" t="e">
        <f t="shared" ref="Z4:Z37" si="12">VLOOKUP($L4,Table_Race,14,FALSE)</f>
        <v>#N/A</v>
      </c>
      <c r="AA4" s="26" t="e">
        <f t="shared" ref="AA4:AA37" si="13">VLOOKUP($L4,Table_Race,15,FALSE)</f>
        <v>#N/A</v>
      </c>
      <c r="AB4" s="26" t="e">
        <f t="shared" ref="AB4:AB37" si="14">VLOOKUP($L4,Table_Race,16,FALSE)</f>
        <v>#N/A</v>
      </c>
      <c r="AC4" s="26" t="e">
        <f t="shared" ref="AC4:AC37" si="15">VLOOKUP($L4,Table_Race,17,FALSE)</f>
        <v>#N/A</v>
      </c>
      <c r="AD4" s="26" t="e">
        <f t="shared" ref="AD4:AD37" si="16">VLOOKUP($L4,Table_Race,18,FALSE)</f>
        <v>#N/A</v>
      </c>
      <c r="AE4" s="28" t="e">
        <f t="shared" ref="AE4:AE37" si="17">VLOOKUP($L4,Table_Race,19,FALSE)</f>
        <v>#N/A</v>
      </c>
      <c r="AF4" s="1" t="e">
        <f t="shared" ref="AF4:AF37" si="18">VLOOKUP($L4,Table_Race,20,FALSE)</f>
        <v>#N/A</v>
      </c>
      <c r="AG4" s="32" t="e">
        <f t="shared" ref="AG4:AG37" si="19">VLOOKUP($L4,Table_Race,21,FALSE)</f>
        <v>#N/A</v>
      </c>
    </row>
    <row r="5" spans="1:33" ht="15" customHeight="1" x14ac:dyDescent="0.25">
      <c r="A5" s="447"/>
      <c r="B5" s="448"/>
      <c r="C5" s="448"/>
      <c r="D5" s="448"/>
      <c r="E5" s="448"/>
      <c r="F5" s="449"/>
      <c r="G5" s="440"/>
      <c r="H5" s="434"/>
      <c r="I5" s="435"/>
      <c r="J5" s="436"/>
      <c r="K5" s="144"/>
      <c r="L5" s="307" t="s">
        <v>318</v>
      </c>
      <c r="M5" s="308"/>
      <c r="N5" s="26">
        <f t="shared" si="0"/>
        <v>35</v>
      </c>
      <c r="O5" s="26">
        <f t="shared" si="1"/>
        <v>4</v>
      </c>
      <c r="P5" s="26">
        <f t="shared" si="2"/>
        <v>-1</v>
      </c>
      <c r="Q5" s="26">
        <f t="shared" si="3"/>
        <v>-2</v>
      </c>
      <c r="R5" s="26">
        <f t="shared" si="4"/>
        <v>0</v>
      </c>
      <c r="S5" s="26">
        <f t="shared" si="5"/>
        <v>-2</v>
      </c>
      <c r="T5" s="26">
        <f t="shared" si="6"/>
        <v>-1</v>
      </c>
      <c r="U5" s="26">
        <f t="shared" si="7"/>
        <v>3</v>
      </c>
      <c r="V5" s="26">
        <f t="shared" si="8"/>
        <v>0</v>
      </c>
      <c r="W5" s="26">
        <f t="shared" si="9"/>
        <v>2</v>
      </c>
      <c r="X5" s="26">
        <f t="shared" si="10"/>
        <v>-2</v>
      </c>
      <c r="Y5" s="26">
        <f t="shared" si="11"/>
        <v>5</v>
      </c>
      <c r="Z5" s="26">
        <f t="shared" si="12"/>
        <v>5</v>
      </c>
      <c r="AA5" s="26">
        <f t="shared" si="13"/>
        <v>5</v>
      </c>
      <c r="AB5" s="26">
        <f t="shared" si="14"/>
        <v>-10</v>
      </c>
      <c r="AC5" s="26">
        <f t="shared" si="15"/>
        <v>0</v>
      </c>
      <c r="AD5" s="26">
        <f t="shared" si="16"/>
        <v>20</v>
      </c>
      <c r="AE5" s="28">
        <f t="shared" si="17"/>
        <v>1</v>
      </c>
      <c r="AF5" s="1" t="str">
        <f t="shared" si="18"/>
        <v>M</v>
      </c>
      <c r="AG5" s="32">
        <f t="shared" si="19"/>
        <v>0</v>
      </c>
    </row>
    <row r="6" spans="1:33" ht="15" customHeight="1" x14ac:dyDescent="0.25">
      <c r="A6" s="447"/>
      <c r="B6" s="448"/>
      <c r="C6" s="448"/>
      <c r="D6" s="448"/>
      <c r="E6" s="448"/>
      <c r="F6" s="449"/>
      <c r="G6" s="440"/>
      <c r="H6" s="434"/>
      <c r="I6" s="435"/>
      <c r="J6" s="436"/>
      <c r="K6" s="144"/>
      <c r="L6" s="307" t="s">
        <v>319</v>
      </c>
      <c r="M6" s="308" t="s">
        <v>319</v>
      </c>
      <c r="N6" s="26">
        <f t="shared" si="0"/>
        <v>6</v>
      </c>
      <c r="O6" s="26">
        <f t="shared" si="1"/>
        <v>-1</v>
      </c>
      <c r="P6" s="26">
        <f t="shared" si="2"/>
        <v>6</v>
      </c>
      <c r="Q6" s="26">
        <f t="shared" si="3"/>
        <v>-6</v>
      </c>
      <c r="R6" s="26">
        <f t="shared" si="4"/>
        <v>0</v>
      </c>
      <c r="S6" s="26">
        <f t="shared" si="5"/>
        <v>0</v>
      </c>
      <c r="T6" s="26">
        <f t="shared" si="6"/>
        <v>-3</v>
      </c>
      <c r="U6" s="26">
        <f t="shared" si="7"/>
        <v>-1</v>
      </c>
      <c r="V6" s="26">
        <f t="shared" si="8"/>
        <v>0</v>
      </c>
      <c r="W6" s="26">
        <f t="shared" si="9"/>
        <v>0</v>
      </c>
      <c r="X6" s="26">
        <f t="shared" si="10"/>
        <v>2</v>
      </c>
      <c r="Y6" s="26">
        <f t="shared" si="11"/>
        <v>0</v>
      </c>
      <c r="Z6" s="26">
        <f t="shared" si="12"/>
        <v>15</v>
      </c>
      <c r="AA6" s="26">
        <f t="shared" si="13"/>
        <v>15</v>
      </c>
      <c r="AB6" s="26">
        <f t="shared" si="14"/>
        <v>10</v>
      </c>
      <c r="AC6" s="26">
        <f t="shared" si="15"/>
        <v>20</v>
      </c>
      <c r="AD6" s="26">
        <f t="shared" si="16"/>
        <v>30</v>
      </c>
      <c r="AE6" s="28">
        <f t="shared" si="17"/>
        <v>0.5</v>
      </c>
      <c r="AF6" s="1" t="str">
        <f t="shared" si="18"/>
        <v>M</v>
      </c>
      <c r="AG6" s="32">
        <f t="shared" si="19"/>
        <v>-3</v>
      </c>
    </row>
    <row r="7" spans="1:33" ht="15" customHeight="1" x14ac:dyDescent="0.25">
      <c r="A7" s="447"/>
      <c r="B7" s="448"/>
      <c r="C7" s="448"/>
      <c r="D7" s="448"/>
      <c r="E7" s="448"/>
      <c r="F7" s="449"/>
      <c r="G7" s="440"/>
      <c r="H7" s="434"/>
      <c r="I7" s="435"/>
      <c r="J7" s="436"/>
      <c r="K7" s="144"/>
      <c r="L7" s="307" t="s">
        <v>320</v>
      </c>
      <c r="M7" s="308" t="s">
        <v>320</v>
      </c>
      <c r="N7" s="26">
        <f t="shared" si="0"/>
        <v>0</v>
      </c>
      <c r="O7" s="26">
        <f t="shared" si="1"/>
        <v>0</v>
      </c>
      <c r="P7" s="26">
        <f t="shared" si="2"/>
        <v>-2</v>
      </c>
      <c r="Q7" s="26">
        <f t="shared" si="3"/>
        <v>3</v>
      </c>
      <c r="R7" s="26">
        <f t="shared" si="4"/>
        <v>2</v>
      </c>
      <c r="S7" s="26">
        <f t="shared" si="5"/>
        <v>2</v>
      </c>
      <c r="T7" s="26">
        <f t="shared" si="6"/>
        <v>3</v>
      </c>
      <c r="U7" s="26">
        <f t="shared" si="7"/>
        <v>1</v>
      </c>
      <c r="V7" s="26">
        <f t="shared" si="8"/>
        <v>2</v>
      </c>
      <c r="W7" s="26">
        <f t="shared" si="9"/>
        <v>-5</v>
      </c>
      <c r="X7" s="26">
        <f t="shared" si="10"/>
        <v>-2</v>
      </c>
      <c r="Y7" s="26">
        <f t="shared" si="11"/>
        <v>-10</v>
      </c>
      <c r="Z7" s="26">
        <f t="shared" si="12"/>
        <v>-10</v>
      </c>
      <c r="AA7" s="26">
        <f t="shared" si="13"/>
        <v>-10</v>
      </c>
      <c r="AB7" s="26">
        <f t="shared" si="14"/>
        <v>20</v>
      </c>
      <c r="AC7" s="26">
        <f t="shared" si="15"/>
        <v>10</v>
      </c>
      <c r="AD7" s="26">
        <f t="shared" si="16"/>
        <v>20</v>
      </c>
      <c r="AE7" s="28">
        <f t="shared" si="17"/>
        <v>2</v>
      </c>
      <c r="AF7" s="1" t="str">
        <f t="shared" si="18"/>
        <v>M</v>
      </c>
      <c r="AG7" s="32">
        <f t="shared" si="19"/>
        <v>1</v>
      </c>
    </row>
    <row r="8" spans="1:33" ht="15" customHeight="1" thickBot="1" x14ac:dyDescent="0.3">
      <c r="A8" s="447"/>
      <c r="B8" s="448"/>
      <c r="C8" s="448"/>
      <c r="D8" s="448"/>
      <c r="E8" s="448"/>
      <c r="F8" s="449"/>
      <c r="G8" s="440"/>
      <c r="H8" s="437"/>
      <c r="I8" s="438"/>
      <c r="J8" s="439"/>
      <c r="K8" s="144"/>
      <c r="L8" s="307" t="s">
        <v>321</v>
      </c>
      <c r="M8" s="308" t="s">
        <v>321</v>
      </c>
      <c r="N8" s="26">
        <f t="shared" si="0"/>
        <v>2</v>
      </c>
      <c r="O8" s="26">
        <f t="shared" si="1"/>
        <v>2</v>
      </c>
      <c r="P8" s="26">
        <f t="shared" si="2"/>
        <v>0</v>
      </c>
      <c r="Q8" s="26">
        <f t="shared" si="3"/>
        <v>3</v>
      </c>
      <c r="R8" s="26">
        <f t="shared" si="4"/>
        <v>0</v>
      </c>
      <c r="S8" s="26">
        <f t="shared" si="5"/>
        <v>1</v>
      </c>
      <c r="T8" s="26">
        <f t="shared" si="6"/>
        <v>3</v>
      </c>
      <c r="U8" s="26">
        <f t="shared" si="7"/>
        <v>3</v>
      </c>
      <c r="V8" s="26">
        <f t="shared" si="8"/>
        <v>0</v>
      </c>
      <c r="W8" s="26">
        <f t="shared" si="9"/>
        <v>-5</v>
      </c>
      <c r="X8" s="26">
        <f t="shared" si="10"/>
        <v>0</v>
      </c>
      <c r="Y8" s="26">
        <f t="shared" si="11"/>
        <v>-5</v>
      </c>
      <c r="Z8" s="26">
        <f t="shared" si="12"/>
        <v>-5</v>
      </c>
      <c r="AA8" s="26">
        <f t="shared" si="13"/>
        <v>-5</v>
      </c>
      <c r="AB8" s="26">
        <f t="shared" si="14"/>
        <v>10</v>
      </c>
      <c r="AC8" s="26">
        <f t="shared" si="15"/>
        <v>10</v>
      </c>
      <c r="AD8" s="26">
        <f t="shared" si="16"/>
        <v>20</v>
      </c>
      <c r="AE8" s="28">
        <f t="shared" si="17"/>
        <v>2</v>
      </c>
      <c r="AF8" s="1" t="str">
        <f t="shared" si="18"/>
        <v>M</v>
      </c>
      <c r="AG8" s="32">
        <f t="shared" si="19"/>
        <v>2</v>
      </c>
    </row>
    <row r="9" spans="1:33" ht="15" customHeight="1" x14ac:dyDescent="0.25">
      <c r="A9" s="447"/>
      <c r="B9" s="448"/>
      <c r="C9" s="448"/>
      <c r="D9" s="448"/>
      <c r="E9" s="448"/>
      <c r="F9" s="449"/>
      <c r="G9" s="163"/>
      <c r="H9" s="267"/>
      <c r="I9" s="267"/>
      <c r="J9" s="267"/>
      <c r="K9" s="144"/>
      <c r="L9" s="307" t="s">
        <v>322</v>
      </c>
      <c r="M9" s="308" t="s">
        <v>322</v>
      </c>
      <c r="N9" s="26">
        <f t="shared" si="0"/>
        <v>3</v>
      </c>
      <c r="O9" s="26">
        <f t="shared" si="1"/>
        <v>3</v>
      </c>
      <c r="P9" s="26">
        <f t="shared" si="2"/>
        <v>-1</v>
      </c>
      <c r="Q9" s="26">
        <f t="shared" si="3"/>
        <v>2</v>
      </c>
      <c r="R9" s="26">
        <f t="shared" si="4"/>
        <v>0</v>
      </c>
      <c r="S9" s="26">
        <f t="shared" si="5"/>
        <v>2</v>
      </c>
      <c r="T9" s="26">
        <f t="shared" si="6"/>
        <v>3</v>
      </c>
      <c r="U9" s="26">
        <f t="shared" si="7"/>
        <v>2</v>
      </c>
      <c r="V9" s="26">
        <f t="shared" si="8"/>
        <v>1</v>
      </c>
      <c r="W9" s="26">
        <f t="shared" si="9"/>
        <v>-5</v>
      </c>
      <c r="X9" s="26">
        <f t="shared" si="10"/>
        <v>-1</v>
      </c>
      <c r="Y9" s="26">
        <f t="shared" si="11"/>
        <v>-5</v>
      </c>
      <c r="Z9" s="26">
        <f t="shared" si="12"/>
        <v>-5</v>
      </c>
      <c r="AA9" s="26">
        <f t="shared" si="13"/>
        <v>-5</v>
      </c>
      <c r="AB9" s="26">
        <f t="shared" si="14"/>
        <v>10</v>
      </c>
      <c r="AC9" s="26">
        <f t="shared" si="15"/>
        <v>10</v>
      </c>
      <c r="AD9" s="26">
        <f t="shared" si="16"/>
        <v>25</v>
      </c>
      <c r="AE9" s="28">
        <f t="shared" si="17"/>
        <v>2</v>
      </c>
      <c r="AF9" s="1" t="str">
        <f t="shared" si="18"/>
        <v>M</v>
      </c>
      <c r="AG9" s="32">
        <f t="shared" si="19"/>
        <v>2</v>
      </c>
    </row>
    <row r="10" spans="1:33" ht="15" customHeight="1" thickBot="1" x14ac:dyDescent="0.3">
      <c r="A10" s="447"/>
      <c r="B10" s="448"/>
      <c r="C10" s="448"/>
      <c r="D10" s="448"/>
      <c r="E10" s="448"/>
      <c r="F10" s="449"/>
      <c r="G10" s="292" t="s">
        <v>414</v>
      </c>
      <c r="H10" s="268"/>
      <c r="I10" s="268"/>
      <c r="J10" s="268"/>
      <c r="K10" s="144"/>
      <c r="L10" s="307" t="s">
        <v>323</v>
      </c>
      <c r="M10" s="308" t="s">
        <v>323</v>
      </c>
      <c r="N10" s="26">
        <f t="shared" si="0"/>
        <v>3</v>
      </c>
      <c r="O10" s="26">
        <f t="shared" si="1"/>
        <v>2</v>
      </c>
      <c r="P10" s="26">
        <f t="shared" si="2"/>
        <v>0</v>
      </c>
      <c r="Q10" s="26">
        <f t="shared" si="3"/>
        <v>2</v>
      </c>
      <c r="R10" s="26">
        <f t="shared" si="4"/>
        <v>0</v>
      </c>
      <c r="S10" s="26">
        <f t="shared" si="5"/>
        <v>1</v>
      </c>
      <c r="T10" s="26">
        <f t="shared" si="6"/>
        <v>2</v>
      </c>
      <c r="U10" s="26">
        <f t="shared" si="7"/>
        <v>3</v>
      </c>
      <c r="V10" s="26">
        <f t="shared" si="8"/>
        <v>0</v>
      </c>
      <c r="W10" s="26">
        <f t="shared" si="9"/>
        <v>-5</v>
      </c>
      <c r="X10" s="26">
        <f t="shared" si="10"/>
        <v>-2</v>
      </c>
      <c r="Y10" s="26">
        <f t="shared" si="11"/>
        <v>-5</v>
      </c>
      <c r="Z10" s="26">
        <f t="shared" si="12"/>
        <v>-5</v>
      </c>
      <c r="AA10" s="26">
        <f t="shared" si="13"/>
        <v>-5</v>
      </c>
      <c r="AB10" s="26">
        <f t="shared" si="14"/>
        <v>20</v>
      </c>
      <c r="AC10" s="26">
        <f t="shared" si="15"/>
        <v>10</v>
      </c>
      <c r="AD10" s="26">
        <f t="shared" si="16"/>
        <v>20</v>
      </c>
      <c r="AE10" s="28">
        <f t="shared" si="17"/>
        <v>2</v>
      </c>
      <c r="AF10" s="1" t="str">
        <f t="shared" si="18"/>
        <v>M</v>
      </c>
      <c r="AG10" s="32">
        <f t="shared" si="19"/>
        <v>0</v>
      </c>
    </row>
    <row r="11" spans="1:33" ht="15" customHeight="1" x14ac:dyDescent="0.25">
      <c r="A11" s="447"/>
      <c r="B11" s="448"/>
      <c r="C11" s="448"/>
      <c r="D11" s="448"/>
      <c r="E11" s="448"/>
      <c r="F11" s="449"/>
      <c r="G11" s="292"/>
      <c r="H11" s="293"/>
      <c r="I11" s="294"/>
      <c r="J11" s="295"/>
      <c r="K11" s="144"/>
      <c r="L11" s="307" t="s">
        <v>324</v>
      </c>
      <c r="M11" s="308" t="s">
        <v>324</v>
      </c>
      <c r="N11" s="26">
        <f t="shared" si="0"/>
        <v>17</v>
      </c>
      <c r="O11" s="26">
        <f t="shared" si="1"/>
        <v>2</v>
      </c>
      <c r="P11" s="26">
        <f t="shared" si="2"/>
        <v>-2</v>
      </c>
      <c r="Q11" s="26">
        <f t="shared" si="3"/>
        <v>4</v>
      </c>
      <c r="R11" s="26">
        <f t="shared" si="4"/>
        <v>-2</v>
      </c>
      <c r="S11" s="26">
        <f t="shared" si="5"/>
        <v>1</v>
      </c>
      <c r="T11" s="26">
        <f t="shared" si="6"/>
        <v>-2</v>
      </c>
      <c r="U11" s="26">
        <f t="shared" si="7"/>
        <v>2</v>
      </c>
      <c r="V11" s="26">
        <f t="shared" si="8"/>
        <v>1</v>
      </c>
      <c r="W11" s="26">
        <f t="shared" si="9"/>
        <v>1</v>
      </c>
      <c r="X11" s="26">
        <f t="shared" si="10"/>
        <v>-3</v>
      </c>
      <c r="Y11" s="26">
        <f t="shared" si="11"/>
        <v>5</v>
      </c>
      <c r="Z11" s="26">
        <f t="shared" si="12"/>
        <v>0</v>
      </c>
      <c r="AA11" s="26">
        <f t="shared" si="13"/>
        <v>5</v>
      </c>
      <c r="AB11" s="26">
        <f t="shared" si="14"/>
        <v>10</v>
      </c>
      <c r="AC11" s="26">
        <f t="shared" si="15"/>
        <v>0</v>
      </c>
      <c r="AD11" s="26">
        <f t="shared" si="16"/>
        <v>20</v>
      </c>
      <c r="AE11" s="28">
        <f t="shared" si="17"/>
        <v>0.5</v>
      </c>
      <c r="AF11" s="1" t="str">
        <f t="shared" si="18"/>
        <v>S</v>
      </c>
      <c r="AG11" s="32">
        <f t="shared" si="19"/>
        <v>-5</v>
      </c>
    </row>
    <row r="12" spans="1:33" ht="15" customHeight="1" thickBot="1" x14ac:dyDescent="0.3">
      <c r="A12" s="447"/>
      <c r="B12" s="448"/>
      <c r="C12" s="448"/>
      <c r="D12" s="448"/>
      <c r="E12" s="448"/>
      <c r="F12" s="449"/>
      <c r="G12" s="292"/>
      <c r="H12" s="296"/>
      <c r="I12" s="297"/>
      <c r="J12" s="298"/>
      <c r="K12" s="144"/>
      <c r="L12" s="307" t="s">
        <v>325</v>
      </c>
      <c r="M12" s="308" t="s">
        <v>325</v>
      </c>
      <c r="N12" s="26">
        <f t="shared" si="0"/>
        <v>4</v>
      </c>
      <c r="O12" s="26">
        <f t="shared" si="1"/>
        <v>0</v>
      </c>
      <c r="P12" s="26">
        <f t="shared" si="2"/>
        <v>-2</v>
      </c>
      <c r="Q12" s="26">
        <f t="shared" si="3"/>
        <v>2</v>
      </c>
      <c r="R12" s="26">
        <f t="shared" si="4"/>
        <v>0</v>
      </c>
      <c r="S12" s="26">
        <f t="shared" si="5"/>
        <v>4</v>
      </c>
      <c r="T12" s="26">
        <f t="shared" si="6"/>
        <v>0</v>
      </c>
      <c r="U12" s="26">
        <f t="shared" si="7"/>
        <v>2</v>
      </c>
      <c r="V12" s="26">
        <f t="shared" si="8"/>
        <v>2</v>
      </c>
      <c r="W12" s="26">
        <f t="shared" si="9"/>
        <v>1</v>
      </c>
      <c r="X12" s="26">
        <f t="shared" si="10"/>
        <v>-2</v>
      </c>
      <c r="Y12" s="26">
        <f t="shared" si="11"/>
        <v>10</v>
      </c>
      <c r="Z12" s="26">
        <f t="shared" si="12"/>
        <v>0</v>
      </c>
      <c r="AA12" s="26">
        <f t="shared" si="13"/>
        <v>0</v>
      </c>
      <c r="AB12" s="26">
        <f t="shared" si="14"/>
        <v>5</v>
      </c>
      <c r="AC12" s="26">
        <f t="shared" si="15"/>
        <v>0</v>
      </c>
      <c r="AD12" s="26">
        <f t="shared" si="16"/>
        <v>25</v>
      </c>
      <c r="AE12" s="28">
        <f t="shared" si="17"/>
        <v>1</v>
      </c>
      <c r="AF12" s="1" t="str">
        <f t="shared" si="18"/>
        <v>M</v>
      </c>
      <c r="AG12" s="32">
        <f t="shared" si="19"/>
        <v>-3</v>
      </c>
    </row>
    <row r="13" spans="1:33" ht="15" customHeight="1" x14ac:dyDescent="0.25">
      <c r="A13" s="447"/>
      <c r="B13" s="448"/>
      <c r="C13" s="448"/>
      <c r="D13" s="448"/>
      <c r="E13" s="448"/>
      <c r="F13" s="449"/>
      <c r="G13" s="292"/>
      <c r="H13" s="268"/>
      <c r="I13" s="268"/>
      <c r="J13" s="268"/>
      <c r="K13" s="144"/>
      <c r="L13" s="307" t="s">
        <v>326</v>
      </c>
      <c r="M13" s="308" t="s">
        <v>326</v>
      </c>
      <c r="N13" s="26">
        <f t="shared" si="0"/>
        <v>46</v>
      </c>
      <c r="O13" s="26">
        <f t="shared" si="1"/>
        <v>5</v>
      </c>
      <c r="P13" s="26">
        <f t="shared" si="2"/>
        <v>5</v>
      </c>
      <c r="Q13" s="26">
        <f t="shared" si="3"/>
        <v>-3</v>
      </c>
      <c r="R13" s="26">
        <f t="shared" si="4"/>
        <v>0</v>
      </c>
      <c r="S13" s="26">
        <f t="shared" si="5"/>
        <v>0</v>
      </c>
      <c r="T13" s="26">
        <f t="shared" si="6"/>
        <v>-3</v>
      </c>
      <c r="U13" s="26">
        <f t="shared" si="7"/>
        <v>2</v>
      </c>
      <c r="V13" s="26">
        <f t="shared" si="8"/>
        <v>0</v>
      </c>
      <c r="W13" s="26">
        <f t="shared" si="9"/>
        <v>-5</v>
      </c>
      <c r="X13" s="26">
        <f t="shared" si="10"/>
        <v>0</v>
      </c>
      <c r="Y13" s="26">
        <f t="shared" si="11"/>
        <v>0</v>
      </c>
      <c r="Z13" s="26">
        <f t="shared" si="12"/>
        <v>0</v>
      </c>
      <c r="AA13" s="26">
        <f t="shared" si="13"/>
        <v>0</v>
      </c>
      <c r="AB13" s="26">
        <f t="shared" si="14"/>
        <v>5</v>
      </c>
      <c r="AC13" s="26">
        <f t="shared" si="15"/>
        <v>0</v>
      </c>
      <c r="AD13" s="26">
        <f t="shared" si="16"/>
        <v>25</v>
      </c>
      <c r="AE13" s="28">
        <f t="shared" si="17"/>
        <v>0.5</v>
      </c>
      <c r="AF13" s="1" t="str">
        <f t="shared" si="18"/>
        <v>S</v>
      </c>
      <c r="AG13" s="32">
        <f t="shared" si="19"/>
        <v>-6</v>
      </c>
    </row>
    <row r="14" spans="1:33" ht="15" customHeight="1" x14ac:dyDescent="0.25">
      <c r="A14" s="447"/>
      <c r="B14" s="448"/>
      <c r="C14" s="448"/>
      <c r="D14" s="448"/>
      <c r="E14" s="448"/>
      <c r="F14" s="449"/>
      <c r="G14" s="163"/>
      <c r="H14" s="267"/>
      <c r="I14" s="267"/>
      <c r="J14" s="267"/>
      <c r="K14" s="144"/>
      <c r="L14" s="307" t="s">
        <v>327</v>
      </c>
      <c r="M14" s="308" t="s">
        <v>327</v>
      </c>
      <c r="N14" s="26">
        <f t="shared" si="0"/>
        <v>11</v>
      </c>
      <c r="O14" s="26">
        <f t="shared" si="1"/>
        <v>1</v>
      </c>
      <c r="P14" s="26">
        <f t="shared" si="2"/>
        <v>3</v>
      </c>
      <c r="Q14" s="26">
        <f t="shared" si="3"/>
        <v>-2</v>
      </c>
      <c r="R14" s="26">
        <f t="shared" si="4"/>
        <v>0</v>
      </c>
      <c r="S14" s="26">
        <f t="shared" si="5"/>
        <v>0</v>
      </c>
      <c r="T14" s="26">
        <f t="shared" si="6"/>
        <v>-2</v>
      </c>
      <c r="U14" s="26">
        <f t="shared" si="7"/>
        <v>0</v>
      </c>
      <c r="V14" s="26">
        <f t="shared" si="8"/>
        <v>0</v>
      </c>
      <c r="W14" s="26">
        <f t="shared" si="9"/>
        <v>-2</v>
      </c>
      <c r="X14" s="26">
        <f t="shared" si="10"/>
        <v>2</v>
      </c>
      <c r="Y14" s="26">
        <f t="shared" si="11"/>
        <v>0</v>
      </c>
      <c r="Z14" s="26">
        <f t="shared" si="12"/>
        <v>0</v>
      </c>
      <c r="AA14" s="26">
        <f t="shared" si="13"/>
        <v>0</v>
      </c>
      <c r="AB14" s="26">
        <f t="shared" si="14"/>
        <v>0</v>
      </c>
      <c r="AC14" s="26">
        <f t="shared" si="15"/>
        <v>0</v>
      </c>
      <c r="AD14" s="26">
        <f t="shared" si="16"/>
        <v>25</v>
      </c>
      <c r="AE14" s="28">
        <f t="shared" si="17"/>
        <v>1</v>
      </c>
      <c r="AF14" s="1" t="str">
        <f t="shared" si="18"/>
        <v>M</v>
      </c>
      <c r="AG14" s="32">
        <f t="shared" si="19"/>
        <v>-2</v>
      </c>
    </row>
    <row r="15" spans="1:33" ht="15" customHeight="1" thickBot="1" x14ac:dyDescent="0.3">
      <c r="A15" s="447"/>
      <c r="B15" s="448"/>
      <c r="C15" s="448"/>
      <c r="D15" s="448"/>
      <c r="E15" s="448"/>
      <c r="F15" s="449"/>
      <c r="G15" s="292" t="s">
        <v>11</v>
      </c>
      <c r="H15" s="268"/>
      <c r="I15" s="268"/>
      <c r="J15" s="268"/>
      <c r="K15" s="144"/>
      <c r="L15" s="307" t="s">
        <v>328</v>
      </c>
      <c r="M15" s="308" t="s">
        <v>328</v>
      </c>
      <c r="N15" s="26">
        <f t="shared" si="0"/>
        <v>18</v>
      </c>
      <c r="O15" s="26">
        <f t="shared" si="1"/>
        <v>2</v>
      </c>
      <c r="P15" s="26">
        <f t="shared" si="2"/>
        <v>0</v>
      </c>
      <c r="Q15" s="26">
        <f t="shared" si="3"/>
        <v>0</v>
      </c>
      <c r="R15" s="26">
        <f t="shared" si="4"/>
        <v>0</v>
      </c>
      <c r="S15" s="26">
        <f t="shared" si="5"/>
        <v>0</v>
      </c>
      <c r="T15" s="26">
        <f t="shared" si="6"/>
        <v>2</v>
      </c>
      <c r="U15" s="26">
        <f t="shared" si="7"/>
        <v>2</v>
      </c>
      <c r="V15" s="26">
        <f t="shared" si="8"/>
        <v>0</v>
      </c>
      <c r="W15" s="26">
        <f t="shared" si="9"/>
        <v>-3</v>
      </c>
      <c r="X15" s="26">
        <f t="shared" si="10"/>
        <v>2</v>
      </c>
      <c r="Y15" s="26">
        <f t="shared" si="11"/>
        <v>-5</v>
      </c>
      <c r="Z15" s="26">
        <f t="shared" si="12"/>
        <v>-5</v>
      </c>
      <c r="AA15" s="26">
        <f t="shared" si="13"/>
        <v>-5</v>
      </c>
      <c r="AB15" s="26">
        <f t="shared" si="14"/>
        <v>5</v>
      </c>
      <c r="AC15" s="26">
        <f t="shared" si="15"/>
        <v>5</v>
      </c>
      <c r="AD15" s="26">
        <f t="shared" si="16"/>
        <v>25</v>
      </c>
      <c r="AE15" s="28">
        <f t="shared" si="17"/>
        <v>1</v>
      </c>
      <c r="AF15" s="1" t="str">
        <f t="shared" si="18"/>
        <v>M</v>
      </c>
      <c r="AG15" s="32">
        <f t="shared" si="19"/>
        <v>1</v>
      </c>
    </row>
    <row r="16" spans="1:33" ht="15" customHeight="1" x14ac:dyDescent="0.25">
      <c r="A16" s="447"/>
      <c r="B16" s="448"/>
      <c r="C16" s="448"/>
      <c r="D16" s="448"/>
      <c r="E16" s="448"/>
      <c r="F16" s="449"/>
      <c r="G16" s="292"/>
      <c r="H16" s="293"/>
      <c r="I16" s="294"/>
      <c r="J16" s="295"/>
      <c r="K16" s="144"/>
      <c r="L16" s="307" t="s">
        <v>329</v>
      </c>
      <c r="M16" s="308" t="s">
        <v>329</v>
      </c>
      <c r="N16" s="26">
        <f t="shared" si="0"/>
        <v>29</v>
      </c>
      <c r="O16" s="26">
        <f t="shared" si="1"/>
        <v>5</v>
      </c>
      <c r="P16" s="26">
        <f t="shared" si="2"/>
        <v>4</v>
      </c>
      <c r="Q16" s="26">
        <f t="shared" si="3"/>
        <v>-2</v>
      </c>
      <c r="R16" s="26">
        <f t="shared" si="4"/>
        <v>0</v>
      </c>
      <c r="S16" s="26">
        <f t="shared" si="5"/>
        <v>0</v>
      </c>
      <c r="T16" s="26">
        <f t="shared" si="6"/>
        <v>-5</v>
      </c>
      <c r="U16" s="26">
        <f t="shared" si="7"/>
        <v>4</v>
      </c>
      <c r="V16" s="26">
        <f t="shared" si="8"/>
        <v>0</v>
      </c>
      <c r="W16" s="26">
        <f t="shared" si="9"/>
        <v>-4</v>
      </c>
      <c r="X16" s="26">
        <f t="shared" si="10"/>
        <v>0</v>
      </c>
      <c r="Y16" s="26">
        <f t="shared" si="11"/>
        <v>0</v>
      </c>
      <c r="Z16" s="26">
        <f t="shared" si="12"/>
        <v>25</v>
      </c>
      <c r="AA16" s="26">
        <f t="shared" si="13"/>
        <v>20</v>
      </c>
      <c r="AB16" s="26">
        <f t="shared" si="14"/>
        <v>10</v>
      </c>
      <c r="AC16" s="26">
        <f t="shared" si="15"/>
        <v>0</v>
      </c>
      <c r="AD16" s="26">
        <f t="shared" si="16"/>
        <v>25</v>
      </c>
      <c r="AE16" s="28">
        <f t="shared" si="17"/>
        <v>1</v>
      </c>
      <c r="AF16" s="1" t="str">
        <f t="shared" si="18"/>
        <v>S</v>
      </c>
      <c r="AG16" s="32">
        <f t="shared" si="19"/>
        <v>-5</v>
      </c>
    </row>
    <row r="17" spans="1:33" ht="15" customHeight="1" thickBot="1" x14ac:dyDescent="0.3">
      <c r="A17" s="447"/>
      <c r="B17" s="448"/>
      <c r="C17" s="448"/>
      <c r="D17" s="448"/>
      <c r="E17" s="448"/>
      <c r="F17" s="449"/>
      <c r="G17" s="292"/>
      <c r="H17" s="296"/>
      <c r="I17" s="297"/>
      <c r="J17" s="298"/>
      <c r="K17" s="144"/>
      <c r="L17" s="307" t="s">
        <v>330</v>
      </c>
      <c r="M17" s="308" t="s">
        <v>330</v>
      </c>
      <c r="N17" s="26">
        <f t="shared" si="0"/>
        <v>30</v>
      </c>
      <c r="O17" s="26">
        <f t="shared" si="1"/>
        <v>3</v>
      </c>
      <c r="P17" s="26">
        <f t="shared" si="2"/>
        <v>2</v>
      </c>
      <c r="Q17" s="26">
        <f t="shared" si="3"/>
        <v>-2</v>
      </c>
      <c r="R17" s="26">
        <f t="shared" si="4"/>
        <v>0</v>
      </c>
      <c r="S17" s="26">
        <f t="shared" si="5"/>
        <v>-2</v>
      </c>
      <c r="T17" s="26">
        <f t="shared" si="6"/>
        <v>-2</v>
      </c>
      <c r="U17" s="26">
        <f t="shared" si="7"/>
        <v>1</v>
      </c>
      <c r="V17" s="26">
        <f t="shared" si="8"/>
        <v>0</v>
      </c>
      <c r="W17" s="26">
        <f t="shared" si="9"/>
        <v>-2</v>
      </c>
      <c r="X17" s="26">
        <f t="shared" si="10"/>
        <v>1</v>
      </c>
      <c r="Y17" s="26">
        <f t="shared" si="11"/>
        <v>0</v>
      </c>
      <c r="Z17" s="26">
        <f t="shared" si="12"/>
        <v>0</v>
      </c>
      <c r="AA17" s="26">
        <f t="shared" si="13"/>
        <v>0</v>
      </c>
      <c r="AB17" s="26">
        <f t="shared" si="14"/>
        <v>0</v>
      </c>
      <c r="AC17" s="26">
        <f t="shared" si="15"/>
        <v>0</v>
      </c>
      <c r="AD17" s="26">
        <f t="shared" si="16"/>
        <v>25</v>
      </c>
      <c r="AE17" s="28">
        <f t="shared" si="17"/>
        <v>0.5</v>
      </c>
      <c r="AF17" s="1" t="str">
        <f t="shared" si="18"/>
        <v>M</v>
      </c>
      <c r="AG17" s="32">
        <f t="shared" si="19"/>
        <v>-3</v>
      </c>
    </row>
    <row r="18" spans="1:33" ht="15" customHeight="1" x14ac:dyDescent="0.25">
      <c r="A18" s="447"/>
      <c r="B18" s="448"/>
      <c r="C18" s="448"/>
      <c r="D18" s="448"/>
      <c r="E18" s="448"/>
      <c r="F18" s="449"/>
      <c r="G18" s="292"/>
      <c r="H18" s="268"/>
      <c r="I18" s="268"/>
      <c r="J18" s="268"/>
      <c r="K18" s="144"/>
      <c r="L18" s="307" t="s">
        <v>331</v>
      </c>
      <c r="M18" s="308" t="s">
        <v>331</v>
      </c>
      <c r="N18" s="26">
        <f t="shared" si="0"/>
        <v>41</v>
      </c>
      <c r="O18" s="26">
        <f t="shared" si="1"/>
        <v>0</v>
      </c>
      <c r="P18" s="26">
        <f t="shared" si="2"/>
        <v>1</v>
      </c>
      <c r="Q18" s="26">
        <f t="shared" si="3"/>
        <v>0</v>
      </c>
      <c r="R18" s="26">
        <f t="shared" si="4"/>
        <v>0</v>
      </c>
      <c r="S18" s="26">
        <f t="shared" si="5"/>
        <v>-1</v>
      </c>
      <c r="T18" s="26">
        <f t="shared" si="6"/>
        <v>0</v>
      </c>
      <c r="U18" s="26">
        <f t="shared" si="7"/>
        <v>0</v>
      </c>
      <c r="V18" s="26">
        <f t="shared" si="8"/>
        <v>-1</v>
      </c>
      <c r="W18" s="26">
        <f t="shared" si="9"/>
        <v>0</v>
      </c>
      <c r="X18" s="26">
        <f t="shared" si="10"/>
        <v>1</v>
      </c>
      <c r="Y18" s="26">
        <f t="shared" si="11"/>
        <v>0</v>
      </c>
      <c r="Z18" s="26">
        <f t="shared" si="12"/>
        <v>0</v>
      </c>
      <c r="AA18" s="26">
        <f t="shared" si="13"/>
        <v>-5</v>
      </c>
      <c r="AB18" s="26">
        <f t="shared" si="14"/>
        <v>0</v>
      </c>
      <c r="AC18" s="26">
        <f t="shared" si="15"/>
        <v>25</v>
      </c>
      <c r="AD18" s="26">
        <f t="shared" si="16"/>
        <v>25</v>
      </c>
      <c r="AE18" s="28">
        <f t="shared" si="17"/>
        <v>1</v>
      </c>
      <c r="AF18" s="1" t="str">
        <f t="shared" si="18"/>
        <v>M</v>
      </c>
      <c r="AG18" s="32">
        <f t="shared" si="19"/>
        <v>-2</v>
      </c>
    </row>
    <row r="19" spans="1:33" ht="15" customHeight="1" x14ac:dyDescent="0.25">
      <c r="A19" s="447"/>
      <c r="B19" s="448"/>
      <c r="C19" s="448"/>
      <c r="D19" s="448"/>
      <c r="E19" s="448"/>
      <c r="F19" s="449"/>
      <c r="G19" s="163"/>
      <c r="H19" s="267"/>
      <c r="I19" s="267"/>
      <c r="J19" s="267"/>
      <c r="K19" s="144"/>
      <c r="L19" s="307" t="s">
        <v>332</v>
      </c>
      <c r="M19" s="308" t="s">
        <v>332</v>
      </c>
      <c r="N19" s="26">
        <f t="shared" si="0"/>
        <v>50</v>
      </c>
      <c r="O19" s="26">
        <f t="shared" si="1"/>
        <v>0</v>
      </c>
      <c r="P19" s="26">
        <f t="shared" si="2"/>
        <v>0</v>
      </c>
      <c r="Q19" s="26">
        <f t="shared" si="3"/>
        <v>0</v>
      </c>
      <c r="R19" s="26">
        <f t="shared" si="4"/>
        <v>0</v>
      </c>
      <c r="S19" s="26">
        <f t="shared" si="5"/>
        <v>0</v>
      </c>
      <c r="T19" s="26">
        <f t="shared" si="6"/>
        <v>0</v>
      </c>
      <c r="U19" s="26">
        <f t="shared" si="7"/>
        <v>0</v>
      </c>
      <c r="V19" s="26">
        <f t="shared" si="8"/>
        <v>0</v>
      </c>
      <c r="W19" s="26">
        <f t="shared" si="9"/>
        <v>0</v>
      </c>
      <c r="X19" s="26">
        <f t="shared" si="10"/>
        <v>0</v>
      </c>
      <c r="Y19" s="26">
        <f t="shared" si="11"/>
        <v>0</v>
      </c>
      <c r="Z19" s="26">
        <f t="shared" si="12"/>
        <v>0</v>
      </c>
      <c r="AA19" s="26">
        <f t="shared" si="13"/>
        <v>0</v>
      </c>
      <c r="AB19" s="26">
        <f t="shared" si="14"/>
        <v>0</v>
      </c>
      <c r="AC19" s="26">
        <f t="shared" si="15"/>
        <v>0</v>
      </c>
      <c r="AD19" s="26">
        <f t="shared" si="16"/>
        <v>25</v>
      </c>
      <c r="AE19" s="28">
        <f t="shared" si="17"/>
        <v>1</v>
      </c>
      <c r="AF19" s="1" t="str">
        <f t="shared" si="18"/>
        <v>M</v>
      </c>
      <c r="AG19" s="32">
        <f t="shared" si="19"/>
        <v>0</v>
      </c>
    </row>
    <row r="20" spans="1:33" ht="15" customHeight="1" x14ac:dyDescent="0.25">
      <c r="A20" s="447"/>
      <c r="B20" s="448"/>
      <c r="C20" s="448"/>
      <c r="D20" s="448"/>
      <c r="E20" s="448"/>
      <c r="F20" s="449"/>
      <c r="G20" s="163"/>
      <c r="H20" s="267"/>
      <c r="I20" s="267"/>
      <c r="J20" s="267"/>
      <c r="K20" s="144"/>
      <c r="L20" s="307" t="s">
        <v>333</v>
      </c>
      <c r="M20" s="308" t="s">
        <v>333</v>
      </c>
      <c r="N20" s="26">
        <f t="shared" si="0"/>
        <v>21</v>
      </c>
      <c r="O20" s="26">
        <f t="shared" si="1"/>
        <v>-2</v>
      </c>
      <c r="P20" s="26">
        <f t="shared" si="2"/>
        <v>3</v>
      </c>
      <c r="Q20" s="26">
        <f t="shared" si="3"/>
        <v>0</v>
      </c>
      <c r="R20" s="26">
        <f t="shared" si="4"/>
        <v>0</v>
      </c>
      <c r="S20" s="26">
        <f t="shared" si="5"/>
        <v>0</v>
      </c>
      <c r="T20" s="26">
        <f t="shared" si="6"/>
        <v>3</v>
      </c>
      <c r="U20" s="26">
        <f t="shared" si="7"/>
        <v>-1</v>
      </c>
      <c r="V20" s="26">
        <f t="shared" si="8"/>
        <v>1</v>
      </c>
      <c r="W20" s="26">
        <f t="shared" si="9"/>
        <v>0</v>
      </c>
      <c r="X20" s="26">
        <f t="shared" si="10"/>
        <v>3</v>
      </c>
      <c r="Y20" s="26">
        <f t="shared" si="11"/>
        <v>5</v>
      </c>
      <c r="Z20" s="26">
        <f t="shared" si="12"/>
        <v>-5</v>
      </c>
      <c r="AA20" s="26">
        <f t="shared" si="13"/>
        <v>-5</v>
      </c>
      <c r="AB20" s="26">
        <f t="shared" si="14"/>
        <v>0</v>
      </c>
      <c r="AC20" s="26">
        <f t="shared" si="15"/>
        <v>0</v>
      </c>
      <c r="AD20" s="26">
        <f t="shared" si="16"/>
        <v>30</v>
      </c>
      <c r="AE20" s="28">
        <f t="shared" si="17"/>
        <v>1</v>
      </c>
      <c r="AF20" s="1" t="str">
        <f t="shared" si="18"/>
        <v>M</v>
      </c>
      <c r="AG20" s="32">
        <f t="shared" si="19"/>
        <v>2</v>
      </c>
    </row>
    <row r="21" spans="1:33" ht="15" customHeight="1" x14ac:dyDescent="0.25">
      <c r="A21" s="447"/>
      <c r="B21" s="448"/>
      <c r="C21" s="448"/>
      <c r="D21" s="448"/>
      <c r="E21" s="448"/>
      <c r="F21" s="449"/>
      <c r="G21" s="163"/>
      <c r="H21" s="267"/>
      <c r="I21" s="267"/>
      <c r="J21" s="267"/>
      <c r="K21" s="144"/>
      <c r="L21" s="307" t="s">
        <v>334</v>
      </c>
      <c r="M21" s="308" t="s">
        <v>334</v>
      </c>
      <c r="N21" s="26">
        <f t="shared" si="0"/>
        <v>34</v>
      </c>
      <c r="O21" s="26">
        <f t="shared" si="1"/>
        <v>0</v>
      </c>
      <c r="P21" s="26">
        <f t="shared" si="2"/>
        <v>1</v>
      </c>
      <c r="Q21" s="26">
        <f t="shared" si="3"/>
        <v>0</v>
      </c>
      <c r="R21" s="26">
        <f t="shared" si="4"/>
        <v>0</v>
      </c>
      <c r="S21" s="26">
        <f t="shared" si="5"/>
        <v>0</v>
      </c>
      <c r="T21" s="26">
        <f t="shared" si="6"/>
        <v>1</v>
      </c>
      <c r="U21" s="26">
        <f t="shared" si="7"/>
        <v>0</v>
      </c>
      <c r="V21" s="26">
        <f t="shared" si="8"/>
        <v>0</v>
      </c>
      <c r="W21" s="26">
        <f t="shared" si="9"/>
        <v>0</v>
      </c>
      <c r="X21" s="26">
        <f t="shared" si="10"/>
        <v>1</v>
      </c>
      <c r="Y21" s="26">
        <f t="shared" si="11"/>
        <v>0</v>
      </c>
      <c r="Z21" s="26">
        <f t="shared" si="12"/>
        <v>0</v>
      </c>
      <c r="AA21" s="26">
        <f t="shared" si="13"/>
        <v>0</v>
      </c>
      <c r="AB21" s="26">
        <f t="shared" si="14"/>
        <v>0</v>
      </c>
      <c r="AC21" s="26">
        <f t="shared" si="15"/>
        <v>0</v>
      </c>
      <c r="AD21" s="26">
        <f t="shared" si="16"/>
        <v>30</v>
      </c>
      <c r="AE21" s="28">
        <f t="shared" si="17"/>
        <v>1</v>
      </c>
      <c r="AF21" s="1" t="str">
        <f t="shared" si="18"/>
        <v>M</v>
      </c>
      <c r="AG21" s="32">
        <f t="shared" si="19"/>
        <v>1</v>
      </c>
    </row>
    <row r="22" spans="1:33" ht="15" customHeight="1" x14ac:dyDescent="0.25">
      <c r="A22" s="447"/>
      <c r="B22" s="448"/>
      <c r="C22" s="448"/>
      <c r="D22" s="448"/>
      <c r="E22" s="448"/>
      <c r="F22" s="449"/>
      <c r="G22" s="163"/>
      <c r="H22" s="267"/>
      <c r="I22" s="267"/>
      <c r="J22" s="267"/>
      <c r="K22" s="144"/>
      <c r="L22" s="307" t="s">
        <v>335</v>
      </c>
      <c r="M22" s="308" t="s">
        <v>335</v>
      </c>
      <c r="N22" s="26">
        <f t="shared" si="0"/>
        <v>27</v>
      </c>
      <c r="O22" s="26">
        <f t="shared" si="1"/>
        <v>-1</v>
      </c>
      <c r="P22" s="26">
        <f t="shared" si="2"/>
        <v>1</v>
      </c>
      <c r="Q22" s="26">
        <f t="shared" si="3"/>
        <v>-2</v>
      </c>
      <c r="R22" s="26">
        <f t="shared" si="4"/>
        <v>0</v>
      </c>
      <c r="S22" s="26">
        <f t="shared" si="5"/>
        <v>0</v>
      </c>
      <c r="T22" s="26">
        <f t="shared" si="6"/>
        <v>-2</v>
      </c>
      <c r="U22" s="26">
        <f t="shared" si="7"/>
        <v>0</v>
      </c>
      <c r="V22" s="26">
        <f t="shared" si="8"/>
        <v>-1</v>
      </c>
      <c r="W22" s="26">
        <f t="shared" si="9"/>
        <v>-4</v>
      </c>
      <c r="X22" s="26">
        <f t="shared" si="10"/>
        <v>2</v>
      </c>
      <c r="Y22" s="26">
        <f t="shared" si="11"/>
        <v>0</v>
      </c>
      <c r="Z22" s="26">
        <f t="shared" si="12"/>
        <v>0</v>
      </c>
      <c r="AA22" s="26">
        <f t="shared" si="13"/>
        <v>0</v>
      </c>
      <c r="AB22" s="26">
        <f t="shared" si="14"/>
        <v>10</v>
      </c>
      <c r="AC22" s="26">
        <f t="shared" si="15"/>
        <v>15</v>
      </c>
      <c r="AD22" s="26">
        <f t="shared" si="16"/>
        <v>35</v>
      </c>
      <c r="AE22" s="28">
        <f t="shared" si="17"/>
        <v>1</v>
      </c>
      <c r="AF22" s="1" t="str">
        <f t="shared" si="18"/>
        <v>B</v>
      </c>
      <c r="AG22" s="32">
        <f t="shared" si="19"/>
        <v>3</v>
      </c>
    </row>
    <row r="23" spans="1:33" ht="15" customHeight="1" x14ac:dyDescent="0.25">
      <c r="A23" s="447"/>
      <c r="B23" s="448"/>
      <c r="C23" s="448"/>
      <c r="D23" s="448"/>
      <c r="E23" s="448"/>
      <c r="F23" s="449"/>
      <c r="G23" s="163"/>
      <c r="H23" s="267"/>
      <c r="I23" s="267"/>
      <c r="J23" s="267"/>
      <c r="K23" s="144"/>
      <c r="L23" s="307" t="s">
        <v>336</v>
      </c>
      <c r="M23" s="308" t="s">
        <v>336</v>
      </c>
      <c r="N23" s="26">
        <f t="shared" si="0"/>
        <v>10</v>
      </c>
      <c r="O23" s="26">
        <f t="shared" si="1"/>
        <v>4</v>
      </c>
      <c r="P23" s="26">
        <f t="shared" si="2"/>
        <v>0</v>
      </c>
      <c r="Q23" s="26">
        <f t="shared" si="3"/>
        <v>-4</v>
      </c>
      <c r="R23" s="26">
        <f t="shared" si="4"/>
        <v>0</v>
      </c>
      <c r="S23" s="26">
        <f t="shared" si="5"/>
        <v>0</v>
      </c>
      <c r="T23" s="26">
        <f t="shared" si="6"/>
        <v>-1</v>
      </c>
      <c r="U23" s="26">
        <f t="shared" si="7"/>
        <v>4</v>
      </c>
      <c r="V23" s="26">
        <f t="shared" si="8"/>
        <v>0</v>
      </c>
      <c r="W23" s="26">
        <f t="shared" si="9"/>
        <v>-2</v>
      </c>
      <c r="X23" s="26">
        <f t="shared" si="10"/>
        <v>2</v>
      </c>
      <c r="Y23" s="26">
        <f t="shared" si="11"/>
        <v>0</v>
      </c>
      <c r="Z23" s="26">
        <f t="shared" si="12"/>
        <v>0</v>
      </c>
      <c r="AA23" s="26">
        <f t="shared" si="13"/>
        <v>0</v>
      </c>
      <c r="AB23" s="26">
        <f t="shared" si="14"/>
        <v>5</v>
      </c>
      <c r="AC23" s="26">
        <f t="shared" si="15"/>
        <v>10</v>
      </c>
      <c r="AD23" s="26">
        <f t="shared" si="16"/>
        <v>25</v>
      </c>
      <c r="AE23" s="28">
        <f t="shared" si="17"/>
        <v>1</v>
      </c>
      <c r="AF23" s="1" t="str">
        <f t="shared" si="18"/>
        <v>M</v>
      </c>
      <c r="AG23" s="32">
        <f t="shared" si="19"/>
        <v>0</v>
      </c>
    </row>
    <row r="24" spans="1:33" ht="15" customHeight="1" x14ac:dyDescent="0.25">
      <c r="A24" s="447"/>
      <c r="B24" s="448"/>
      <c r="C24" s="448"/>
      <c r="D24" s="448"/>
      <c r="E24" s="448"/>
      <c r="F24" s="449"/>
      <c r="G24" s="163"/>
      <c r="H24" s="267"/>
      <c r="I24" s="267"/>
      <c r="J24" s="267"/>
      <c r="K24" s="144"/>
      <c r="L24" s="307" t="s">
        <v>337</v>
      </c>
      <c r="M24" s="308" t="s">
        <v>337</v>
      </c>
      <c r="N24" s="26">
        <f t="shared" si="0"/>
        <v>75</v>
      </c>
      <c r="O24" s="26">
        <f t="shared" si="1"/>
        <v>5</v>
      </c>
      <c r="P24" s="26">
        <f t="shared" si="2"/>
        <v>1</v>
      </c>
      <c r="Q24" s="26">
        <f t="shared" si="3"/>
        <v>-3</v>
      </c>
      <c r="R24" s="26">
        <f t="shared" si="4"/>
        <v>-1</v>
      </c>
      <c r="S24" s="26">
        <f t="shared" si="5"/>
        <v>0</v>
      </c>
      <c r="T24" s="26">
        <f t="shared" si="6"/>
        <v>-3</v>
      </c>
      <c r="U24" s="26">
        <f t="shared" si="7"/>
        <v>4</v>
      </c>
      <c r="V24" s="26">
        <f t="shared" si="8"/>
        <v>0</v>
      </c>
      <c r="W24" s="26">
        <f t="shared" si="9"/>
        <v>-3</v>
      </c>
      <c r="X24" s="26">
        <f t="shared" si="10"/>
        <v>-1</v>
      </c>
      <c r="Y24" s="26">
        <f t="shared" si="11"/>
        <v>0</v>
      </c>
      <c r="Z24" s="26">
        <f t="shared" si="12"/>
        <v>0</v>
      </c>
      <c r="AA24" s="26">
        <f t="shared" si="13"/>
        <v>0</v>
      </c>
      <c r="AB24" s="26">
        <f t="shared" si="14"/>
        <v>0</v>
      </c>
      <c r="AC24" s="26">
        <f t="shared" si="15"/>
        <v>10</v>
      </c>
      <c r="AD24" s="26">
        <f t="shared" si="16"/>
        <v>20</v>
      </c>
      <c r="AE24" s="28">
        <f t="shared" si="17"/>
        <v>0.5</v>
      </c>
      <c r="AF24" s="1" t="str">
        <f t="shared" si="18"/>
        <v>S</v>
      </c>
      <c r="AG24" s="32">
        <f t="shared" si="19"/>
        <v>-5</v>
      </c>
    </row>
    <row r="25" spans="1:33" ht="15" customHeight="1" x14ac:dyDescent="0.25">
      <c r="A25" s="447"/>
      <c r="B25" s="448"/>
      <c r="C25" s="448"/>
      <c r="D25" s="448"/>
      <c r="E25" s="448"/>
      <c r="F25" s="449"/>
      <c r="G25" s="163"/>
      <c r="H25" s="267"/>
      <c r="I25" s="267"/>
      <c r="J25" s="267"/>
      <c r="K25" s="144"/>
      <c r="L25" s="307" t="s">
        <v>338</v>
      </c>
      <c r="M25" s="308" t="s">
        <v>338</v>
      </c>
      <c r="N25" s="26">
        <f t="shared" si="0"/>
        <v>26</v>
      </c>
      <c r="O25" s="26">
        <f t="shared" si="1"/>
        <v>0</v>
      </c>
      <c r="P25" s="26">
        <f t="shared" si="2"/>
        <v>0</v>
      </c>
      <c r="Q25" s="26">
        <f t="shared" si="3"/>
        <v>2</v>
      </c>
      <c r="R25" s="26">
        <f t="shared" si="4"/>
        <v>2</v>
      </c>
      <c r="S25" s="26">
        <f t="shared" si="5"/>
        <v>2</v>
      </c>
      <c r="T25" s="26">
        <f t="shared" si="6"/>
        <v>2</v>
      </c>
      <c r="U25" s="26">
        <f t="shared" si="7"/>
        <v>2</v>
      </c>
      <c r="V25" s="26">
        <f t="shared" si="8"/>
        <v>0</v>
      </c>
      <c r="W25" s="26">
        <f t="shared" si="9"/>
        <v>-4</v>
      </c>
      <c r="X25" s="26">
        <f t="shared" si="10"/>
        <v>-2</v>
      </c>
      <c r="Y25" s="26">
        <f t="shared" si="11"/>
        <v>0</v>
      </c>
      <c r="Z25" s="26">
        <f t="shared" si="12"/>
        <v>0</v>
      </c>
      <c r="AA25" s="26">
        <f t="shared" si="13"/>
        <v>0</v>
      </c>
      <c r="AB25" s="26">
        <f t="shared" si="14"/>
        <v>0</v>
      </c>
      <c r="AC25" s="26">
        <f t="shared" si="15"/>
        <v>0</v>
      </c>
      <c r="AD25" s="26">
        <f t="shared" si="16"/>
        <v>20</v>
      </c>
      <c r="AE25" s="28">
        <f t="shared" si="17"/>
        <v>1</v>
      </c>
      <c r="AF25" s="1" t="str">
        <f t="shared" si="18"/>
        <v>M</v>
      </c>
      <c r="AG25" s="32">
        <f t="shared" si="19"/>
        <v>-3</v>
      </c>
    </row>
    <row r="26" spans="1:33" ht="15" customHeight="1" x14ac:dyDescent="0.25">
      <c r="A26" s="447"/>
      <c r="B26" s="448"/>
      <c r="C26" s="448"/>
      <c r="D26" s="448"/>
      <c r="E26" s="448"/>
      <c r="F26" s="449"/>
      <c r="G26" s="163"/>
      <c r="H26" s="267"/>
      <c r="I26" s="267"/>
      <c r="J26" s="267"/>
      <c r="K26" s="144"/>
      <c r="L26" s="307" t="s">
        <v>339</v>
      </c>
      <c r="M26" s="308" t="s">
        <v>339</v>
      </c>
      <c r="N26" s="26">
        <f t="shared" si="0"/>
        <v>30</v>
      </c>
      <c r="O26" s="26">
        <f t="shared" si="1"/>
        <v>0</v>
      </c>
      <c r="P26" s="26">
        <f t="shared" si="2"/>
        <v>5</v>
      </c>
      <c r="Q26" s="26">
        <f t="shared" si="3"/>
        <v>-4</v>
      </c>
      <c r="R26" s="26">
        <f t="shared" si="4"/>
        <v>0</v>
      </c>
      <c r="S26" s="26">
        <f t="shared" si="5"/>
        <v>-2</v>
      </c>
      <c r="T26" s="26">
        <f t="shared" si="6"/>
        <v>-2</v>
      </c>
      <c r="U26" s="26">
        <f t="shared" si="7"/>
        <v>0</v>
      </c>
      <c r="V26" s="26">
        <f t="shared" si="8"/>
        <v>-2</v>
      </c>
      <c r="W26" s="26">
        <f t="shared" si="9"/>
        <v>-4</v>
      </c>
      <c r="X26" s="26">
        <f t="shared" si="10"/>
        <v>3</v>
      </c>
      <c r="Y26" s="26">
        <f t="shared" si="11"/>
        <v>0</v>
      </c>
      <c r="Z26" s="26">
        <f t="shared" si="12"/>
        <v>0</v>
      </c>
      <c r="AA26" s="26">
        <f t="shared" si="13"/>
        <v>0</v>
      </c>
      <c r="AB26" s="26">
        <f t="shared" si="14"/>
        <v>10</v>
      </c>
      <c r="AC26" s="26">
        <f t="shared" si="15"/>
        <v>10</v>
      </c>
      <c r="AD26" s="26">
        <f t="shared" si="16"/>
        <v>30</v>
      </c>
      <c r="AE26" s="28">
        <f t="shared" si="17"/>
        <v>0.5</v>
      </c>
      <c r="AF26" s="1" t="str">
        <f t="shared" si="18"/>
        <v>M</v>
      </c>
      <c r="AG26" s="32">
        <f t="shared" si="19"/>
        <v>0</v>
      </c>
    </row>
    <row r="27" spans="1:33" ht="15" customHeight="1" x14ac:dyDescent="0.25">
      <c r="A27" s="447"/>
      <c r="B27" s="448"/>
      <c r="C27" s="448"/>
      <c r="D27" s="448"/>
      <c r="E27" s="448"/>
      <c r="F27" s="449"/>
      <c r="G27" s="163"/>
      <c r="H27" s="267"/>
      <c r="I27" s="267"/>
      <c r="J27" s="267"/>
      <c r="K27" s="144"/>
      <c r="L27" s="307" t="s">
        <v>340</v>
      </c>
      <c r="M27" s="308" t="s">
        <v>340</v>
      </c>
      <c r="N27" s="26">
        <f t="shared" si="0"/>
        <v>60</v>
      </c>
      <c r="O27" s="26">
        <f t="shared" si="1"/>
        <v>0</v>
      </c>
      <c r="P27" s="26">
        <f t="shared" si="2"/>
        <v>-2</v>
      </c>
      <c r="Q27" s="26">
        <f t="shared" si="3"/>
        <v>0</v>
      </c>
      <c r="R27" s="26">
        <f t="shared" si="4"/>
        <v>0</v>
      </c>
      <c r="S27" s="26">
        <f t="shared" si="5"/>
        <v>1</v>
      </c>
      <c r="T27" s="26">
        <f t="shared" si="6"/>
        <v>0</v>
      </c>
      <c r="U27" s="26">
        <f t="shared" si="7"/>
        <v>0</v>
      </c>
      <c r="V27" s="26">
        <f t="shared" si="8"/>
        <v>1</v>
      </c>
      <c r="W27" s="26">
        <f t="shared" si="9"/>
        <v>-2</v>
      </c>
      <c r="X27" s="26">
        <f t="shared" si="10"/>
        <v>0</v>
      </c>
      <c r="Y27" s="26">
        <f t="shared" si="11"/>
        <v>-5</v>
      </c>
      <c r="Z27" s="26">
        <f t="shared" si="12"/>
        <v>-5</v>
      </c>
      <c r="AA27" s="26">
        <f t="shared" si="13"/>
        <v>-10</v>
      </c>
      <c r="AB27" s="26">
        <f t="shared" si="14"/>
        <v>5</v>
      </c>
      <c r="AC27" s="26">
        <f t="shared" si="15"/>
        <v>0</v>
      </c>
      <c r="AD27" s="26">
        <f t="shared" si="16"/>
        <v>20</v>
      </c>
      <c r="AE27" s="28">
        <f t="shared" si="17"/>
        <v>0.5</v>
      </c>
      <c r="AF27" s="1" t="str">
        <f t="shared" si="18"/>
        <v>M</v>
      </c>
      <c r="AG27" s="32">
        <f t="shared" si="19"/>
        <v>0</v>
      </c>
    </row>
    <row r="28" spans="1:33" ht="15" customHeight="1" x14ac:dyDescent="0.25">
      <c r="A28" s="447"/>
      <c r="B28" s="448"/>
      <c r="C28" s="448"/>
      <c r="D28" s="448"/>
      <c r="E28" s="448"/>
      <c r="F28" s="449"/>
      <c r="G28" s="163"/>
      <c r="H28" s="267"/>
      <c r="I28" s="267"/>
      <c r="J28" s="267"/>
      <c r="K28" s="144"/>
      <c r="L28" s="307" t="s">
        <v>341</v>
      </c>
      <c r="M28" s="308" t="s">
        <v>341</v>
      </c>
      <c r="N28" s="26">
        <f t="shared" si="0"/>
        <v>75</v>
      </c>
      <c r="O28" s="26">
        <f t="shared" si="1"/>
        <v>0</v>
      </c>
      <c r="P28" s="26">
        <f t="shared" si="2"/>
        <v>2</v>
      </c>
      <c r="Q28" s="26">
        <f t="shared" si="3"/>
        <v>-3</v>
      </c>
      <c r="R28" s="26">
        <f t="shared" si="4"/>
        <v>0</v>
      </c>
      <c r="S28" s="26">
        <f t="shared" si="5"/>
        <v>-2</v>
      </c>
      <c r="T28" s="26">
        <f t="shared" si="6"/>
        <v>-3</v>
      </c>
      <c r="U28" s="26">
        <f t="shared" si="7"/>
        <v>0</v>
      </c>
      <c r="V28" s="26">
        <f t="shared" si="8"/>
        <v>-2</v>
      </c>
      <c r="W28" s="26">
        <f t="shared" si="9"/>
        <v>-4</v>
      </c>
      <c r="X28" s="26">
        <f t="shared" si="10"/>
        <v>1</v>
      </c>
      <c r="Y28" s="26">
        <f t="shared" si="11"/>
        <v>0</v>
      </c>
      <c r="Z28" s="26">
        <f t="shared" si="12"/>
        <v>0</v>
      </c>
      <c r="AA28" s="26">
        <f t="shared" si="13"/>
        <v>0</v>
      </c>
      <c r="AB28" s="26">
        <f t="shared" si="14"/>
        <v>5</v>
      </c>
      <c r="AC28" s="26">
        <f t="shared" si="15"/>
        <v>5</v>
      </c>
      <c r="AD28" s="26">
        <f t="shared" si="16"/>
        <v>25</v>
      </c>
      <c r="AE28" s="28">
        <f t="shared" si="17"/>
        <v>0.5</v>
      </c>
      <c r="AF28" s="1" t="str">
        <f t="shared" si="18"/>
        <v>M</v>
      </c>
      <c r="AG28" s="32">
        <f t="shared" si="19"/>
        <v>-2</v>
      </c>
    </row>
    <row r="29" spans="1:33" ht="15" customHeight="1" x14ac:dyDescent="0.25">
      <c r="A29" s="447"/>
      <c r="B29" s="448"/>
      <c r="C29" s="448"/>
      <c r="D29" s="448"/>
      <c r="E29" s="448"/>
      <c r="F29" s="449"/>
      <c r="G29" s="163"/>
      <c r="H29" s="267"/>
      <c r="I29" s="267"/>
      <c r="J29" s="267"/>
      <c r="K29" s="144"/>
      <c r="L29" s="307" t="s">
        <v>342</v>
      </c>
      <c r="M29" s="308" t="s">
        <v>342</v>
      </c>
      <c r="N29" s="26">
        <f t="shared" si="0"/>
        <v>0</v>
      </c>
      <c r="O29" s="26">
        <f t="shared" si="1"/>
        <v>0</v>
      </c>
      <c r="P29" s="26">
        <f t="shared" si="2"/>
        <v>4</v>
      </c>
      <c r="Q29" s="26">
        <f t="shared" si="3"/>
        <v>-2</v>
      </c>
      <c r="R29" s="26">
        <f t="shared" si="4"/>
        <v>0</v>
      </c>
      <c r="S29" s="26">
        <f t="shared" si="5"/>
        <v>-2</v>
      </c>
      <c r="T29" s="26">
        <f t="shared" si="6"/>
        <v>-2</v>
      </c>
      <c r="U29" s="26">
        <f t="shared" si="7"/>
        <v>0</v>
      </c>
      <c r="V29" s="26">
        <f t="shared" si="8"/>
        <v>-2</v>
      </c>
      <c r="W29" s="26">
        <f t="shared" si="9"/>
        <v>-4</v>
      </c>
      <c r="X29" s="26">
        <f t="shared" si="10"/>
        <v>2</v>
      </c>
      <c r="Y29" s="26">
        <f t="shared" si="11"/>
        <v>5</v>
      </c>
      <c r="Z29" s="26">
        <f t="shared" si="12"/>
        <v>5</v>
      </c>
      <c r="AA29" s="26">
        <f t="shared" si="13"/>
        <v>5</v>
      </c>
      <c r="AB29" s="26">
        <f t="shared" si="14"/>
        <v>10</v>
      </c>
      <c r="AC29" s="26">
        <f t="shared" si="15"/>
        <v>10</v>
      </c>
      <c r="AD29" s="26">
        <f t="shared" si="16"/>
        <v>35</v>
      </c>
      <c r="AE29" s="28">
        <f t="shared" si="17"/>
        <v>0.5</v>
      </c>
      <c r="AF29" s="1" t="str">
        <f t="shared" si="18"/>
        <v>B</v>
      </c>
      <c r="AG29" s="32">
        <f t="shared" si="19"/>
        <v>5</v>
      </c>
    </row>
    <row r="30" spans="1:33" ht="15" customHeight="1" x14ac:dyDescent="0.25">
      <c r="A30" s="447"/>
      <c r="B30" s="448"/>
      <c r="C30" s="448"/>
      <c r="D30" s="448"/>
      <c r="E30" s="448"/>
      <c r="F30" s="449"/>
      <c r="G30" s="163"/>
      <c r="H30" s="267"/>
      <c r="I30" s="267"/>
      <c r="J30" s="267"/>
      <c r="K30" s="144"/>
      <c r="L30" s="307" t="s">
        <v>343</v>
      </c>
      <c r="M30" s="308" t="s">
        <v>343</v>
      </c>
      <c r="N30" s="26">
        <f t="shared" si="0"/>
        <v>18</v>
      </c>
      <c r="O30" s="26">
        <f t="shared" si="1"/>
        <v>0</v>
      </c>
      <c r="P30" s="26">
        <f t="shared" si="2"/>
        <v>4</v>
      </c>
      <c r="Q30" s="26">
        <f t="shared" si="3"/>
        <v>-2</v>
      </c>
      <c r="R30" s="26">
        <f t="shared" si="4"/>
        <v>0</v>
      </c>
      <c r="S30" s="26">
        <f t="shared" si="5"/>
        <v>-2</v>
      </c>
      <c r="T30" s="26">
        <f t="shared" si="6"/>
        <v>-2</v>
      </c>
      <c r="U30" s="26">
        <f t="shared" si="7"/>
        <v>0</v>
      </c>
      <c r="V30" s="26">
        <f t="shared" si="8"/>
        <v>-2</v>
      </c>
      <c r="W30" s="26">
        <f t="shared" si="9"/>
        <v>-4</v>
      </c>
      <c r="X30" s="26">
        <f t="shared" si="10"/>
        <v>2</v>
      </c>
      <c r="Y30" s="26">
        <f t="shared" si="11"/>
        <v>0</v>
      </c>
      <c r="Z30" s="26">
        <f t="shared" si="12"/>
        <v>0</v>
      </c>
      <c r="AA30" s="26">
        <f t="shared" si="13"/>
        <v>0</v>
      </c>
      <c r="AB30" s="26">
        <f t="shared" si="14"/>
        <v>5</v>
      </c>
      <c r="AC30" s="26">
        <f t="shared" si="15"/>
        <v>0</v>
      </c>
      <c r="AD30" s="26">
        <f t="shared" si="16"/>
        <v>30</v>
      </c>
      <c r="AE30" s="28">
        <f t="shared" si="17"/>
        <v>0.5</v>
      </c>
      <c r="AF30" s="1" t="str">
        <f t="shared" si="18"/>
        <v>M</v>
      </c>
      <c r="AG30" s="32">
        <f t="shared" si="19"/>
        <v>0</v>
      </c>
    </row>
    <row r="31" spans="1:33" ht="15" customHeight="1" x14ac:dyDescent="0.25">
      <c r="A31" s="447"/>
      <c r="B31" s="448"/>
      <c r="C31" s="448"/>
      <c r="D31" s="448"/>
      <c r="E31" s="448"/>
      <c r="F31" s="449"/>
      <c r="G31" s="163"/>
      <c r="H31" s="267"/>
      <c r="I31" s="267"/>
      <c r="J31" s="267"/>
      <c r="K31" s="144"/>
      <c r="L31" s="307" t="s">
        <v>344</v>
      </c>
      <c r="M31" s="308" t="s">
        <v>344</v>
      </c>
      <c r="N31" s="26">
        <f t="shared" si="0"/>
        <v>8</v>
      </c>
      <c r="O31" s="26">
        <f t="shared" si="1"/>
        <v>2</v>
      </c>
      <c r="P31" s="26">
        <f t="shared" si="2"/>
        <v>3</v>
      </c>
      <c r="Q31" s="26">
        <f t="shared" si="3"/>
        <v>-2</v>
      </c>
      <c r="R31" s="26">
        <f t="shared" si="4"/>
        <v>1</v>
      </c>
      <c r="S31" s="26">
        <f t="shared" si="5"/>
        <v>0</v>
      </c>
      <c r="T31" s="26">
        <f t="shared" si="6"/>
        <v>-1</v>
      </c>
      <c r="U31" s="26">
        <f t="shared" si="7"/>
        <v>2</v>
      </c>
      <c r="V31" s="26">
        <f t="shared" si="8"/>
        <v>0</v>
      </c>
      <c r="W31" s="26">
        <f t="shared" si="9"/>
        <v>-2</v>
      </c>
      <c r="X31" s="26">
        <f t="shared" si="10"/>
        <v>0</v>
      </c>
      <c r="Y31" s="26">
        <f t="shared" si="11"/>
        <v>-5</v>
      </c>
      <c r="Z31" s="26">
        <f t="shared" si="12"/>
        <v>0</v>
      </c>
      <c r="AA31" s="26">
        <f t="shared" si="13"/>
        <v>5</v>
      </c>
      <c r="AB31" s="26">
        <f t="shared" si="14"/>
        <v>10</v>
      </c>
      <c r="AC31" s="26">
        <f t="shared" si="15"/>
        <v>25</v>
      </c>
      <c r="AD31" s="26">
        <f t="shared" si="16"/>
        <v>25</v>
      </c>
      <c r="AE31" s="28">
        <f t="shared" si="17"/>
        <v>1</v>
      </c>
      <c r="AF31" s="1" t="str">
        <f t="shared" si="18"/>
        <v>M</v>
      </c>
      <c r="AG31" s="32">
        <f t="shared" si="19"/>
        <v>0</v>
      </c>
    </row>
    <row r="32" spans="1:33" ht="15" customHeight="1" x14ac:dyDescent="0.25">
      <c r="A32" s="447"/>
      <c r="B32" s="448"/>
      <c r="C32" s="448"/>
      <c r="D32" s="448"/>
      <c r="E32" s="448"/>
      <c r="F32" s="449"/>
      <c r="G32" s="163"/>
      <c r="H32" s="267"/>
      <c r="I32" s="267"/>
      <c r="J32" s="267"/>
      <c r="K32" s="144"/>
      <c r="L32" s="307" t="s">
        <v>345</v>
      </c>
      <c r="M32" s="308" t="s">
        <v>345</v>
      </c>
      <c r="N32" s="26">
        <f t="shared" si="0"/>
        <v>3</v>
      </c>
      <c r="O32" s="26">
        <f t="shared" si="1"/>
        <v>2</v>
      </c>
      <c r="P32" s="26">
        <f t="shared" si="2"/>
        <v>3</v>
      </c>
      <c r="Q32" s="26">
        <f t="shared" si="3"/>
        <v>-2</v>
      </c>
      <c r="R32" s="26">
        <f t="shared" si="4"/>
        <v>1</v>
      </c>
      <c r="S32" s="26">
        <f t="shared" si="5"/>
        <v>-1</v>
      </c>
      <c r="T32" s="26">
        <f t="shared" si="6"/>
        <v>-1</v>
      </c>
      <c r="U32" s="26">
        <f t="shared" si="7"/>
        <v>0</v>
      </c>
      <c r="V32" s="26">
        <f t="shared" si="8"/>
        <v>-1</v>
      </c>
      <c r="W32" s="26">
        <f t="shared" si="9"/>
        <v>1</v>
      </c>
      <c r="X32" s="26">
        <f t="shared" si="10"/>
        <v>1</v>
      </c>
      <c r="Y32" s="26">
        <f t="shared" si="11"/>
        <v>5</v>
      </c>
      <c r="Z32" s="26">
        <f t="shared" si="12"/>
        <v>0</v>
      </c>
      <c r="AA32" s="26">
        <f t="shared" si="13"/>
        <v>0</v>
      </c>
      <c r="AB32" s="26">
        <f t="shared" si="14"/>
        <v>10</v>
      </c>
      <c r="AC32" s="26">
        <f t="shared" si="15"/>
        <v>10</v>
      </c>
      <c r="AD32" s="26">
        <f t="shared" si="16"/>
        <v>25</v>
      </c>
      <c r="AE32" s="28">
        <f t="shared" si="17"/>
        <v>1</v>
      </c>
      <c r="AF32" s="1" t="str">
        <f t="shared" si="18"/>
        <v>M</v>
      </c>
      <c r="AG32" s="32">
        <f t="shared" si="19"/>
        <v>-3</v>
      </c>
    </row>
    <row r="33" spans="1:33" ht="15" customHeight="1" x14ac:dyDescent="0.25">
      <c r="A33" s="447"/>
      <c r="B33" s="448"/>
      <c r="C33" s="448"/>
      <c r="D33" s="448"/>
      <c r="E33" s="448"/>
      <c r="F33" s="449"/>
      <c r="G33" s="163"/>
      <c r="H33" s="267"/>
      <c r="I33" s="267"/>
      <c r="J33" s="267"/>
      <c r="K33" s="144"/>
      <c r="L33" s="307" t="s">
        <v>346</v>
      </c>
      <c r="M33" s="308" t="s">
        <v>346</v>
      </c>
      <c r="N33" s="26">
        <f t="shared" si="0"/>
        <v>0</v>
      </c>
      <c r="O33" s="26">
        <f t="shared" si="1"/>
        <v>1</v>
      </c>
      <c r="P33" s="26">
        <f t="shared" si="2"/>
        <v>2</v>
      </c>
      <c r="Q33" s="26">
        <f t="shared" si="3"/>
        <v>-3</v>
      </c>
      <c r="R33" s="26">
        <f t="shared" si="4"/>
        <v>2</v>
      </c>
      <c r="S33" s="26">
        <f t="shared" si="5"/>
        <v>0</v>
      </c>
      <c r="T33" s="26">
        <f t="shared" si="6"/>
        <v>-1</v>
      </c>
      <c r="U33" s="26">
        <f t="shared" si="7"/>
        <v>0</v>
      </c>
      <c r="V33" s="26">
        <f t="shared" si="8"/>
        <v>0</v>
      </c>
      <c r="W33" s="26">
        <f t="shared" si="9"/>
        <v>-2</v>
      </c>
      <c r="X33" s="26">
        <f t="shared" si="10"/>
        <v>2</v>
      </c>
      <c r="Y33" s="26">
        <f t="shared" si="11"/>
        <v>0</v>
      </c>
      <c r="Z33" s="26">
        <f t="shared" si="12"/>
        <v>0</v>
      </c>
      <c r="AA33" s="26">
        <f t="shared" si="13"/>
        <v>0</v>
      </c>
      <c r="AB33" s="26">
        <f t="shared" si="14"/>
        <v>0</v>
      </c>
      <c r="AC33" s="26">
        <f t="shared" si="15"/>
        <v>10</v>
      </c>
      <c r="AD33" s="26">
        <f t="shared" si="16"/>
        <v>25</v>
      </c>
      <c r="AE33" s="28">
        <f t="shared" si="17"/>
        <v>1</v>
      </c>
      <c r="AF33" s="1" t="str">
        <f t="shared" si="18"/>
        <v>M</v>
      </c>
      <c r="AG33" s="32">
        <f t="shared" si="19"/>
        <v>0</v>
      </c>
    </row>
    <row r="34" spans="1:33" ht="15" customHeight="1" x14ac:dyDescent="0.25">
      <c r="A34" s="447"/>
      <c r="B34" s="448"/>
      <c r="C34" s="448"/>
      <c r="D34" s="448"/>
      <c r="E34" s="448"/>
      <c r="F34" s="449"/>
      <c r="H34" s="267"/>
      <c r="I34" s="267"/>
      <c r="J34" s="267"/>
      <c r="K34" s="144"/>
      <c r="L34" s="307" t="s">
        <v>347</v>
      </c>
      <c r="M34" s="308" t="s">
        <v>347</v>
      </c>
      <c r="N34" s="26">
        <f t="shared" si="0"/>
        <v>2</v>
      </c>
      <c r="O34" s="26">
        <f t="shared" si="1"/>
        <v>0</v>
      </c>
      <c r="P34" s="26">
        <f t="shared" si="2"/>
        <v>3</v>
      </c>
      <c r="Q34" s="26">
        <f t="shared" si="3"/>
        <v>0</v>
      </c>
      <c r="R34" s="26">
        <f t="shared" si="4"/>
        <v>0</v>
      </c>
      <c r="S34" s="26">
        <f t="shared" si="5"/>
        <v>-2</v>
      </c>
      <c r="T34" s="26">
        <f t="shared" si="6"/>
        <v>-2</v>
      </c>
      <c r="U34" s="26">
        <f t="shared" si="7"/>
        <v>0</v>
      </c>
      <c r="V34" s="26">
        <f t="shared" si="8"/>
        <v>0</v>
      </c>
      <c r="W34" s="26">
        <f t="shared" si="9"/>
        <v>-2</v>
      </c>
      <c r="X34" s="26">
        <f t="shared" si="10"/>
        <v>2</v>
      </c>
      <c r="Y34" s="26">
        <f t="shared" si="11"/>
        <v>0</v>
      </c>
      <c r="Z34" s="26">
        <f t="shared" si="12"/>
        <v>-5</v>
      </c>
      <c r="AA34" s="26">
        <f t="shared" si="13"/>
        <v>0</v>
      </c>
      <c r="AB34" s="26">
        <f t="shared" si="14"/>
        <v>0</v>
      </c>
      <c r="AC34" s="26">
        <f t="shared" si="15"/>
        <v>10</v>
      </c>
      <c r="AD34" s="26">
        <f t="shared" si="16"/>
        <v>25</v>
      </c>
      <c r="AE34" s="28">
        <f t="shared" si="17"/>
        <v>1</v>
      </c>
      <c r="AF34" s="1" t="str">
        <f t="shared" si="18"/>
        <v>M</v>
      </c>
      <c r="AG34" s="32">
        <f t="shared" si="19"/>
        <v>0</v>
      </c>
    </row>
    <row r="35" spans="1:33" ht="15" customHeight="1" x14ac:dyDescent="0.25">
      <c r="A35" s="447"/>
      <c r="B35" s="448"/>
      <c r="C35" s="448"/>
      <c r="D35" s="448"/>
      <c r="E35" s="448"/>
      <c r="F35" s="449"/>
      <c r="H35" s="267"/>
      <c r="I35" s="267"/>
      <c r="J35" s="267"/>
      <c r="K35" s="144"/>
      <c r="L35" s="307" t="s">
        <v>348</v>
      </c>
      <c r="M35" s="308" t="s">
        <v>348</v>
      </c>
      <c r="N35" s="26">
        <f t="shared" si="0"/>
        <v>0</v>
      </c>
      <c r="O35" s="26">
        <f t="shared" si="1"/>
        <v>2</v>
      </c>
      <c r="P35" s="26">
        <f t="shared" si="2"/>
        <v>0</v>
      </c>
      <c r="Q35" s="26">
        <f t="shared" si="3"/>
        <v>1</v>
      </c>
      <c r="R35" s="26">
        <f t="shared" si="4"/>
        <v>0</v>
      </c>
      <c r="S35" s="26">
        <f t="shared" si="5"/>
        <v>0</v>
      </c>
      <c r="T35" s="26">
        <f t="shared" si="6"/>
        <v>1</v>
      </c>
      <c r="U35" s="26">
        <f t="shared" si="7"/>
        <v>2</v>
      </c>
      <c r="V35" s="26">
        <f t="shared" si="8"/>
        <v>0</v>
      </c>
      <c r="W35" s="26">
        <f t="shared" si="9"/>
        <v>0</v>
      </c>
      <c r="X35" s="26">
        <f t="shared" si="10"/>
        <v>-1</v>
      </c>
      <c r="Y35" s="26">
        <f t="shared" si="11"/>
        <v>0</v>
      </c>
      <c r="Z35" s="26">
        <f t="shared" si="12"/>
        <v>0</v>
      </c>
      <c r="AA35" s="26">
        <f t="shared" si="13"/>
        <v>0</v>
      </c>
      <c r="AB35" s="26">
        <f t="shared" si="14"/>
        <v>0</v>
      </c>
      <c r="AC35" s="26">
        <f t="shared" si="15"/>
        <v>0</v>
      </c>
      <c r="AD35" s="26">
        <f t="shared" si="16"/>
        <v>20</v>
      </c>
      <c r="AE35" s="28">
        <f t="shared" si="17"/>
        <v>2</v>
      </c>
      <c r="AF35" s="1" t="str">
        <f t="shared" si="18"/>
        <v>M</v>
      </c>
      <c r="AG35" s="32">
        <f t="shared" si="19"/>
        <v>6</v>
      </c>
    </row>
    <row r="36" spans="1:33" ht="15" customHeight="1" x14ac:dyDescent="0.25">
      <c r="A36" s="447"/>
      <c r="B36" s="448"/>
      <c r="C36" s="448"/>
      <c r="D36" s="448"/>
      <c r="E36" s="448"/>
      <c r="F36" s="449"/>
      <c r="H36" s="267"/>
      <c r="I36" s="267"/>
      <c r="J36" s="267"/>
      <c r="K36" s="144"/>
      <c r="L36" s="307" t="s">
        <v>349</v>
      </c>
      <c r="M36" s="308" t="s">
        <v>349</v>
      </c>
      <c r="N36" s="26">
        <f t="shared" si="0"/>
        <v>29</v>
      </c>
      <c r="O36" s="26">
        <f t="shared" si="1"/>
        <v>-1</v>
      </c>
      <c r="P36" s="26">
        <f t="shared" si="2"/>
        <v>2</v>
      </c>
      <c r="Q36" s="26">
        <f t="shared" si="3"/>
        <v>-5</v>
      </c>
      <c r="R36" s="26">
        <f t="shared" si="4"/>
        <v>0</v>
      </c>
      <c r="S36" s="26">
        <f t="shared" si="5"/>
        <v>-3</v>
      </c>
      <c r="T36" s="26">
        <f t="shared" si="6"/>
        <v>0</v>
      </c>
      <c r="U36" s="26">
        <f t="shared" si="7"/>
        <v>0</v>
      </c>
      <c r="V36" s="26">
        <f t="shared" si="8"/>
        <v>-3</v>
      </c>
      <c r="W36" s="26">
        <f t="shared" si="9"/>
        <v>-3</v>
      </c>
      <c r="X36" s="26">
        <f t="shared" si="10"/>
        <v>5</v>
      </c>
      <c r="Y36" s="26">
        <f t="shared" si="11"/>
        <v>-10</v>
      </c>
      <c r="Z36" s="26">
        <f t="shared" si="12"/>
        <v>-10</v>
      </c>
      <c r="AA36" s="26">
        <f t="shared" si="13"/>
        <v>-10</v>
      </c>
      <c r="AB36" s="26">
        <f t="shared" si="14"/>
        <v>15</v>
      </c>
      <c r="AC36" s="26">
        <f t="shared" si="15"/>
        <v>10</v>
      </c>
      <c r="AD36" s="26">
        <f t="shared" si="16"/>
        <v>25</v>
      </c>
      <c r="AE36" s="28">
        <f t="shared" si="17"/>
        <v>1</v>
      </c>
      <c r="AF36" s="1" t="str">
        <f t="shared" si="18"/>
        <v>B</v>
      </c>
      <c r="AG36" s="32">
        <f t="shared" si="19"/>
        <v>6</v>
      </c>
    </row>
    <row r="37" spans="1:33" ht="15.75" customHeight="1" thickBot="1" x14ac:dyDescent="0.3">
      <c r="A37" s="450"/>
      <c r="B37" s="451"/>
      <c r="C37" s="451"/>
      <c r="D37" s="451"/>
      <c r="E37" s="451"/>
      <c r="F37" s="452"/>
      <c r="H37" s="267"/>
      <c r="I37" s="267"/>
      <c r="J37" s="267"/>
      <c r="K37" s="145"/>
      <c r="L37" s="307" t="s">
        <v>350</v>
      </c>
      <c r="M37" s="308" t="s">
        <v>350</v>
      </c>
      <c r="N37" s="26">
        <f t="shared" si="0"/>
        <v>0</v>
      </c>
      <c r="O37" s="26">
        <f t="shared" si="1"/>
        <v>0</v>
      </c>
      <c r="P37" s="26">
        <f t="shared" si="2"/>
        <v>3</v>
      </c>
      <c r="Q37" s="26">
        <f t="shared" si="3"/>
        <v>-3</v>
      </c>
      <c r="R37" s="26">
        <f t="shared" si="4"/>
        <v>1</v>
      </c>
      <c r="S37" s="26">
        <f t="shared" si="5"/>
        <v>0</v>
      </c>
      <c r="T37" s="26">
        <f t="shared" si="6"/>
        <v>0</v>
      </c>
      <c r="U37" s="26">
        <f t="shared" si="7"/>
        <v>2</v>
      </c>
      <c r="V37" s="26">
        <f t="shared" si="8"/>
        <v>-1</v>
      </c>
      <c r="W37" s="26">
        <f t="shared" si="9"/>
        <v>-4</v>
      </c>
      <c r="X37" s="26">
        <f t="shared" si="10"/>
        <v>2</v>
      </c>
      <c r="Y37" s="26">
        <f t="shared" si="11"/>
        <v>0</v>
      </c>
      <c r="Z37" s="26">
        <f t="shared" si="12"/>
        <v>0</v>
      </c>
      <c r="AA37" s="26">
        <f t="shared" si="13"/>
        <v>0</v>
      </c>
      <c r="AB37" s="26">
        <f t="shared" si="14"/>
        <v>0</v>
      </c>
      <c r="AC37" s="26">
        <f t="shared" si="15"/>
        <v>10</v>
      </c>
      <c r="AD37" s="26">
        <f t="shared" si="16"/>
        <v>30</v>
      </c>
      <c r="AE37" s="28">
        <f t="shared" si="17"/>
        <v>1</v>
      </c>
      <c r="AF37" s="1" t="str">
        <f t="shared" si="18"/>
        <v>M</v>
      </c>
      <c r="AG37" s="32">
        <f t="shared" si="19"/>
        <v>1</v>
      </c>
    </row>
    <row r="38" spans="1:33" ht="15.75" thickBot="1" x14ac:dyDescent="0.3">
      <c r="A38" s="444" t="s">
        <v>960</v>
      </c>
      <c r="B38" s="445"/>
      <c r="C38" s="445"/>
      <c r="D38" s="445"/>
      <c r="E38" s="445"/>
      <c r="F38" s="446"/>
      <c r="G38" s="274" t="s">
        <v>699</v>
      </c>
      <c r="H38" s="275"/>
      <c r="I38" s="275"/>
      <c r="J38" s="275"/>
      <c r="K38" s="143"/>
      <c r="L38" s="137" t="s">
        <v>697</v>
      </c>
      <c r="M38" s="140"/>
      <c r="N38" s="141"/>
      <c r="O38" s="142"/>
      <c r="P38" s="142"/>
      <c r="Q38" s="142"/>
      <c r="R38" s="142"/>
      <c r="S38" s="142"/>
      <c r="T38" s="142"/>
      <c r="U38" s="142"/>
      <c r="V38" s="142"/>
      <c r="W38" s="68"/>
      <c r="X38" s="83"/>
      <c r="Y38" s="83"/>
      <c r="Z38" s="83"/>
      <c r="AA38" s="83"/>
      <c r="AB38" s="83"/>
      <c r="AC38" s="83"/>
      <c r="AD38" s="83"/>
      <c r="AE38" s="83"/>
      <c r="AF38" s="83"/>
      <c r="AG38" s="83"/>
    </row>
    <row r="39" spans="1:33" x14ac:dyDescent="0.25">
      <c r="A39" s="447"/>
      <c r="B39" s="448"/>
      <c r="C39" s="448"/>
      <c r="D39" s="448"/>
      <c r="E39" s="448"/>
      <c r="F39" s="449"/>
      <c r="G39" s="428" t="s">
        <v>8</v>
      </c>
      <c r="H39" s="293" t="s">
        <v>696</v>
      </c>
      <c r="I39" s="294"/>
      <c r="J39" s="295"/>
      <c r="K39" s="144"/>
      <c r="L39" s="307" t="str">
        <f>Source_Data!AX4</f>
        <v>Undefined</v>
      </c>
      <c r="M39" s="308"/>
      <c r="N39" s="308" t="str">
        <f>Source_Data!AX10</f>
        <v>Fringe</v>
      </c>
      <c r="O39" s="308"/>
      <c r="P39" s="308" t="str">
        <f>Source_Data!AX15</f>
        <v>Industrious</v>
      </c>
      <c r="Q39" s="308"/>
      <c r="R39" s="308" t="str">
        <f>Source_Data!AX20</f>
        <v>Proud</v>
      </c>
      <c r="S39" s="308"/>
      <c r="T39" s="308" t="str">
        <f>Source_Data!AX25</f>
        <v>Sea-Raider</v>
      </c>
      <c r="U39" s="308"/>
      <c r="V39" s="308" t="str">
        <f>Source_Data!AX30</f>
        <v>Underground</v>
      </c>
      <c r="W39" s="443"/>
    </row>
    <row r="40" spans="1:33" ht="15.75" thickBot="1" x14ac:dyDescent="0.3">
      <c r="A40" s="447"/>
      <c r="B40" s="448"/>
      <c r="C40" s="448"/>
      <c r="D40" s="448"/>
      <c r="E40" s="448"/>
      <c r="F40" s="449"/>
      <c r="G40" s="428"/>
      <c r="H40" s="430"/>
      <c r="I40" s="410"/>
      <c r="J40" s="411"/>
      <c r="K40" s="144"/>
      <c r="L40" s="307" t="str">
        <f>Source_Data!AX6</f>
        <v>Ascended</v>
      </c>
      <c r="M40" s="308"/>
      <c r="N40" s="308" t="str">
        <f>Source_Data!AX11</f>
        <v>Harsh</v>
      </c>
      <c r="O40" s="308"/>
      <c r="P40" s="308" t="str">
        <f>Source_Data!AX16</f>
        <v>Mariner</v>
      </c>
      <c r="Q40" s="308"/>
      <c r="R40" s="308" t="str">
        <f>Source_Data!AX21</f>
        <v>Reaver</v>
      </c>
      <c r="S40" s="308"/>
      <c r="T40" s="308" t="str">
        <f>Source_Data!AX26</f>
        <v>Secret Nomad</v>
      </c>
      <c r="U40" s="308"/>
      <c r="V40" s="308" t="str">
        <f>Source_Data!AX31</f>
        <v>Urban</v>
      </c>
      <c r="W40" s="443"/>
    </row>
    <row r="41" spans="1:33" x14ac:dyDescent="0.25">
      <c r="A41" s="447"/>
      <c r="B41" s="448"/>
      <c r="C41" s="448"/>
      <c r="D41" s="448"/>
      <c r="E41" s="448"/>
      <c r="F41" s="449"/>
      <c r="G41" s="428"/>
      <c r="H41" s="430"/>
      <c r="I41" s="410"/>
      <c r="J41" s="411"/>
      <c r="K41" s="144"/>
      <c r="L41" s="307" t="str">
        <f>Source_Data!AX7</f>
        <v>Coastal</v>
      </c>
      <c r="M41" s="308"/>
      <c r="N41" s="308" t="str">
        <f>Source_Data!AX12</f>
        <v>Hermit</v>
      </c>
      <c r="O41" s="308"/>
      <c r="P41" s="308" t="str">
        <f>Source_Data!AX17</f>
        <v>Noble</v>
      </c>
      <c r="Q41" s="308"/>
      <c r="R41" s="308" t="str">
        <f>Source_Data!AX22</f>
        <v>Ritualist</v>
      </c>
      <c r="S41" s="308"/>
      <c r="T41" s="308" t="str">
        <f>Source_Data!AX27</f>
        <v>Singer</v>
      </c>
      <c r="U41" s="308"/>
      <c r="V41" s="441"/>
      <c r="W41" s="442"/>
    </row>
    <row r="42" spans="1:33" x14ac:dyDescent="0.25">
      <c r="A42" s="447"/>
      <c r="B42" s="448"/>
      <c r="C42" s="448"/>
      <c r="D42" s="448"/>
      <c r="E42" s="448"/>
      <c r="F42" s="449"/>
      <c r="G42" s="428"/>
      <c r="H42" s="430"/>
      <c r="I42" s="410"/>
      <c r="J42" s="411"/>
      <c r="K42" s="144"/>
      <c r="L42" s="307" t="str">
        <f>Source_Data!AX8</f>
        <v>Cosmopolitan</v>
      </c>
      <c r="M42" s="308"/>
      <c r="N42" s="308" t="str">
        <f>Source_Data!AX30</f>
        <v>Underground</v>
      </c>
      <c r="O42" s="308"/>
      <c r="P42" s="308" t="str">
        <f>Source_Data!AX18</f>
        <v>Nomad</v>
      </c>
      <c r="Q42" s="308"/>
      <c r="R42" s="308" t="str">
        <f>Source_Data!AX23</f>
        <v>Rural</v>
      </c>
      <c r="S42" s="308"/>
      <c r="T42" s="308" t="str">
        <f>Source_Data!AX28</f>
        <v>Skulker</v>
      </c>
      <c r="U42" s="308"/>
      <c r="V42" s="307"/>
      <c r="W42" s="308"/>
    </row>
    <row r="43" spans="1:33" ht="15.75" thickBot="1" x14ac:dyDescent="0.3">
      <c r="A43" s="450"/>
      <c r="B43" s="451"/>
      <c r="C43" s="451"/>
      <c r="D43" s="451"/>
      <c r="E43" s="451"/>
      <c r="F43" s="452"/>
      <c r="G43" s="429"/>
      <c r="H43" s="296"/>
      <c r="I43" s="297"/>
      <c r="J43" s="298"/>
      <c r="K43" s="145"/>
      <c r="L43" s="307" t="str">
        <f>Source_Data!AX9</f>
        <v>Dark</v>
      </c>
      <c r="M43" s="308"/>
      <c r="N43" s="308" t="str">
        <f>Source_Data!AX31</f>
        <v>Urban</v>
      </c>
      <c r="O43" s="308"/>
      <c r="P43" s="308" t="str">
        <f>Source_Data!AX19</f>
        <v>Oceanic</v>
      </c>
      <c r="Q43" s="308"/>
      <c r="R43" s="308" t="str">
        <f>Source_Data!AX24</f>
        <v>Sanctified</v>
      </c>
      <c r="S43" s="308"/>
      <c r="T43" s="308" t="str">
        <f>Source_Data!AX29</f>
        <v>Sylvan</v>
      </c>
      <c r="U43" s="308"/>
      <c r="V43" s="307"/>
      <c r="W43" s="308"/>
    </row>
    <row r="44" spans="1:33" ht="15.75" thickBot="1" x14ac:dyDescent="0.3">
      <c r="A44" s="444" t="s">
        <v>980</v>
      </c>
      <c r="B44" s="445"/>
      <c r="C44" s="445"/>
      <c r="D44" s="445"/>
      <c r="E44" s="445"/>
      <c r="F44" s="446"/>
      <c r="G44" s="274" t="s">
        <v>717</v>
      </c>
      <c r="H44" s="275"/>
      <c r="I44" s="275"/>
      <c r="J44" s="275"/>
      <c r="K44" s="143"/>
      <c r="L44" s="137" t="s">
        <v>697</v>
      </c>
      <c r="M44" s="140"/>
      <c r="N44" s="141"/>
      <c r="O44" s="142"/>
      <c r="P44" s="142"/>
      <c r="Q44" s="142"/>
      <c r="R44" s="142"/>
      <c r="S44" s="142"/>
      <c r="T44" s="142"/>
      <c r="U44" s="142"/>
      <c r="V44" s="142"/>
      <c r="W44" s="142"/>
      <c r="X44" s="142"/>
      <c r="Y44" s="68"/>
      <c r="Z44" s="1"/>
      <c r="AA44" s="1"/>
      <c r="AB44" s="1"/>
      <c r="AC44" s="1"/>
      <c r="AD44" s="1"/>
      <c r="AE44" s="1"/>
      <c r="AF44" s="1"/>
      <c r="AG44" s="1"/>
    </row>
    <row r="45" spans="1:33" ht="15" customHeight="1" x14ac:dyDescent="0.25">
      <c r="A45" s="447"/>
      <c r="B45" s="448"/>
      <c r="C45" s="448"/>
      <c r="D45" s="448"/>
      <c r="E45" s="448"/>
      <c r="F45" s="449"/>
      <c r="G45" s="303" t="s">
        <v>9</v>
      </c>
      <c r="H45" s="293" t="s">
        <v>237</v>
      </c>
      <c r="I45" s="294"/>
      <c r="J45" s="295"/>
      <c r="K45" s="144"/>
      <c r="L45" s="427" t="s">
        <v>51</v>
      </c>
      <c r="M45" s="324"/>
      <c r="N45" s="324"/>
      <c r="O45" s="324"/>
      <c r="P45" s="324"/>
      <c r="Q45" s="324"/>
      <c r="R45" s="422" t="s">
        <v>60</v>
      </c>
      <c r="S45" s="422"/>
      <c r="T45" s="422" t="s">
        <v>61</v>
      </c>
      <c r="U45" s="422"/>
      <c r="V45" s="422" t="s">
        <v>62</v>
      </c>
      <c r="W45" s="422"/>
      <c r="X45" s="324" t="s">
        <v>725</v>
      </c>
      <c r="Y45" s="325"/>
    </row>
    <row r="46" spans="1:33" x14ac:dyDescent="0.25">
      <c r="A46" s="447"/>
      <c r="B46" s="448"/>
      <c r="C46" s="448"/>
      <c r="D46" s="448"/>
      <c r="E46" s="448"/>
      <c r="F46" s="449"/>
      <c r="G46" s="303"/>
      <c r="H46" s="430"/>
      <c r="I46" s="410"/>
      <c r="J46" s="411"/>
      <c r="K46" s="144"/>
      <c r="L46" s="307" t="str">
        <f>Source_Data!D4</f>
        <v>No Profession</v>
      </c>
      <c r="M46" s="308"/>
      <c r="N46" s="308" t="str">
        <f>Source_Data!D8</f>
        <v>Rogue</v>
      </c>
      <c r="O46" s="308"/>
      <c r="P46" s="308" t="str">
        <f>Source_Data!D12</f>
        <v>Outrider</v>
      </c>
      <c r="Q46" s="308"/>
      <c r="R46" s="423" t="str">
        <f>Source_Data!D16</f>
        <v>Ranger</v>
      </c>
      <c r="S46" s="423"/>
      <c r="T46" s="423" t="str">
        <f>Source_Data!D20</f>
        <v>Bard</v>
      </c>
      <c r="U46" s="423"/>
      <c r="V46" s="423" t="str">
        <f>Source_Data!D26</f>
        <v>Mentalist</v>
      </c>
      <c r="W46" s="423"/>
      <c r="X46" s="382" t="str">
        <f>Source_Data!D28</f>
        <v>Healer</v>
      </c>
      <c r="Y46" s="421"/>
    </row>
    <row r="47" spans="1:33" x14ac:dyDescent="0.25">
      <c r="A47" s="447"/>
      <c r="B47" s="448"/>
      <c r="C47" s="448"/>
      <c r="D47" s="448"/>
      <c r="E47" s="448"/>
      <c r="F47" s="449"/>
      <c r="G47" s="303"/>
      <c r="H47" s="430"/>
      <c r="I47" s="410"/>
      <c r="J47" s="411"/>
      <c r="K47" s="144"/>
      <c r="L47" s="307" t="str">
        <f>Source_Data!D5</f>
        <v>Fighter</v>
      </c>
      <c r="M47" s="308"/>
      <c r="N47" s="308" t="str">
        <f>Source_Data!D9</f>
        <v>Laborer</v>
      </c>
      <c r="O47" s="308"/>
      <c r="P47" s="308" t="str">
        <f>Source_Data!D13</f>
        <v>Swashbuckler</v>
      </c>
      <c r="Q47" s="308"/>
      <c r="R47" s="423" t="str">
        <f>Source_Data!D17</f>
        <v>Paladin</v>
      </c>
      <c r="S47" s="423"/>
      <c r="T47" s="423" t="str">
        <f>Source_Data!D21</f>
        <v>Dabbler</v>
      </c>
      <c r="U47" s="423"/>
      <c r="V47" s="423" t="str">
        <f>Source_Data!M18</f>
        <v>Monk</v>
      </c>
      <c r="W47" s="423"/>
      <c r="X47" s="382" t="str">
        <f>Source_Data!D30</f>
        <v>Sorcerer</v>
      </c>
      <c r="Y47" s="421"/>
    </row>
    <row r="48" spans="1:33" x14ac:dyDescent="0.25">
      <c r="A48" s="447"/>
      <c r="B48" s="448"/>
      <c r="C48" s="448"/>
      <c r="D48" s="448"/>
      <c r="E48" s="448"/>
      <c r="F48" s="449"/>
      <c r="G48" s="303"/>
      <c r="H48" s="430"/>
      <c r="I48" s="410"/>
      <c r="J48" s="411"/>
      <c r="K48" s="144"/>
      <c r="L48" s="307" t="str">
        <f>Source_Data!D6</f>
        <v>Warrior Monk</v>
      </c>
      <c r="M48" s="308"/>
      <c r="N48" s="308" t="str">
        <f>Source_Data!D10</f>
        <v>Assassin</v>
      </c>
      <c r="O48" s="308"/>
      <c r="P48" s="308" t="str">
        <f>Source_Data!D14</f>
        <v>Trader</v>
      </c>
      <c r="Q48" s="308"/>
      <c r="R48" s="423" t="str">
        <f>Source_Data!D22</f>
        <v>Cleric</v>
      </c>
      <c r="S48" s="423"/>
      <c r="T48" s="423" t="str">
        <f>Source_Data!D24</f>
        <v>Magician</v>
      </c>
      <c r="U48" s="423"/>
      <c r="V48" s="423" t="str">
        <f>Source_Data!M27</f>
        <v>Lay Healer</v>
      </c>
      <c r="W48" s="423"/>
      <c r="X48" s="382" t="str">
        <f>Source_Data!D29</f>
        <v>Mystic</v>
      </c>
      <c r="Y48" s="421"/>
    </row>
    <row r="49" spans="1:25" ht="15.75" thickBot="1" x14ac:dyDescent="0.3">
      <c r="A49" s="447"/>
      <c r="B49" s="448"/>
      <c r="C49" s="448"/>
      <c r="D49" s="448"/>
      <c r="E49" s="448"/>
      <c r="F49" s="449"/>
      <c r="G49" s="303"/>
      <c r="H49" s="296"/>
      <c r="I49" s="297"/>
      <c r="J49" s="298"/>
      <c r="K49" s="145"/>
      <c r="L49" s="341" t="str">
        <f>Source_Data!D7</f>
        <v>Thief</v>
      </c>
      <c r="M49" s="313"/>
      <c r="N49" s="313" t="str">
        <f>Source_Data!D11</f>
        <v>Barbarian</v>
      </c>
      <c r="O49" s="313"/>
      <c r="P49" s="313" t="str">
        <f>Source_Data!D15</f>
        <v>Scholar</v>
      </c>
      <c r="Q49" s="313"/>
      <c r="R49" s="424" t="str">
        <f>Source_Data!D23</f>
        <v>Druid</v>
      </c>
      <c r="S49" s="424"/>
      <c r="T49" s="424" t="str">
        <f>Source_Data!D25</f>
        <v>Illusionist</v>
      </c>
      <c r="U49" s="424"/>
      <c r="V49" s="424" t="str">
        <f>Source_Data!M19</f>
        <v>Magent</v>
      </c>
      <c r="W49" s="424"/>
      <c r="X49" s="425" t="s">
        <v>725</v>
      </c>
      <c r="Y49" s="426"/>
    </row>
    <row r="50" spans="1:25" ht="14.25" customHeight="1" thickBot="1" x14ac:dyDescent="0.3">
      <c r="A50" s="447"/>
      <c r="B50" s="448"/>
      <c r="C50" s="448"/>
      <c r="D50" s="448"/>
      <c r="E50" s="448"/>
      <c r="F50" s="449"/>
      <c r="G50" s="303"/>
      <c r="H50" s="169"/>
      <c r="I50" s="169"/>
      <c r="J50" s="169"/>
      <c r="K50" s="144"/>
      <c r="L50" s="274" t="s">
        <v>982</v>
      </c>
      <c r="M50" s="275"/>
      <c r="N50" s="275"/>
      <c r="O50" s="275"/>
      <c r="P50" s="275"/>
      <c r="Q50" s="275"/>
      <c r="R50" s="275"/>
      <c r="S50" s="275"/>
      <c r="T50" s="275"/>
      <c r="U50" s="275"/>
      <c r="V50" s="275"/>
      <c r="W50" s="275"/>
      <c r="X50" s="275"/>
      <c r="Y50" s="275"/>
    </row>
    <row r="51" spans="1:25" ht="14.25" customHeight="1" x14ac:dyDescent="0.25">
      <c r="A51" s="447"/>
      <c r="B51" s="448"/>
      <c r="C51" s="448"/>
      <c r="D51" s="448"/>
      <c r="E51" s="448"/>
      <c r="F51" s="449"/>
      <c r="G51" s="303"/>
      <c r="H51" s="280" t="s">
        <v>979</v>
      </c>
      <c r="I51" s="281"/>
      <c r="J51" s="282"/>
      <c r="K51" s="144"/>
      <c r="L51" s="269"/>
      <c r="M51" s="175"/>
      <c r="N51" s="175"/>
      <c r="O51" s="175"/>
      <c r="P51" s="175"/>
      <c r="Q51" s="175"/>
      <c r="R51" s="175"/>
      <c r="S51" s="175"/>
      <c r="T51" s="175"/>
      <c r="U51" s="175"/>
      <c r="V51" s="175"/>
      <c r="W51" s="175"/>
      <c r="X51" s="175"/>
      <c r="Y51" s="175"/>
    </row>
    <row r="52" spans="1:25" ht="14.25" customHeight="1" x14ac:dyDescent="0.25">
      <c r="A52" s="447"/>
      <c r="B52" s="448"/>
      <c r="C52" s="448"/>
      <c r="D52" s="448"/>
      <c r="E52" s="448"/>
      <c r="F52" s="449"/>
      <c r="G52" s="303"/>
      <c r="H52" s="283"/>
      <c r="I52" s="284"/>
      <c r="J52" s="285"/>
      <c r="K52" s="144"/>
      <c r="L52" s="269"/>
      <c r="M52" s="175"/>
      <c r="N52" s="175"/>
      <c r="O52" s="175"/>
      <c r="P52" s="175"/>
      <c r="Q52" s="175"/>
      <c r="R52" s="175"/>
      <c r="S52" s="175"/>
      <c r="T52" s="175"/>
      <c r="U52" s="175"/>
      <c r="V52" s="175"/>
      <c r="W52" s="175"/>
      <c r="X52" s="175"/>
      <c r="Y52" s="175"/>
    </row>
    <row r="53" spans="1:25" ht="14.25" customHeight="1" x14ac:dyDescent="0.25">
      <c r="A53" s="447"/>
      <c r="B53" s="448"/>
      <c r="C53" s="448"/>
      <c r="D53" s="448"/>
      <c r="E53" s="448"/>
      <c r="F53" s="449"/>
      <c r="G53" s="303"/>
      <c r="H53" s="286"/>
      <c r="I53" s="287"/>
      <c r="J53" s="288"/>
      <c r="K53" s="144"/>
      <c r="L53" s="269"/>
      <c r="M53" s="175"/>
      <c r="N53" s="175"/>
      <c r="O53" s="175"/>
      <c r="P53" s="175"/>
      <c r="Q53" s="175"/>
      <c r="R53" s="175"/>
      <c r="S53" s="175"/>
      <c r="T53" s="175"/>
      <c r="U53" s="175"/>
      <c r="V53" s="175"/>
      <c r="W53" s="175"/>
      <c r="X53" s="175"/>
      <c r="Y53" s="175"/>
    </row>
    <row r="54" spans="1:25" ht="14.25" customHeight="1" thickBot="1" x14ac:dyDescent="0.3">
      <c r="A54" s="447"/>
      <c r="B54" s="448"/>
      <c r="C54" s="448"/>
      <c r="D54" s="448"/>
      <c r="E54" s="448"/>
      <c r="F54" s="449"/>
      <c r="G54" s="303"/>
      <c r="H54" s="289"/>
      <c r="I54" s="290"/>
      <c r="J54" s="291"/>
      <c r="K54" s="144"/>
      <c r="L54" s="269"/>
      <c r="M54" s="175"/>
      <c r="N54" s="175"/>
      <c r="O54" s="175"/>
      <c r="P54" s="175"/>
      <c r="Q54" s="175"/>
      <c r="R54" s="175"/>
      <c r="S54" s="175"/>
      <c r="T54" s="175"/>
      <c r="U54" s="175"/>
      <c r="V54" s="175"/>
      <c r="W54" s="175"/>
      <c r="X54" s="175"/>
      <c r="Y54" s="175"/>
    </row>
    <row r="55" spans="1:25" ht="14.25" customHeight="1" thickBot="1" x14ac:dyDescent="0.3">
      <c r="A55" s="447"/>
      <c r="B55" s="448"/>
      <c r="C55" s="448"/>
      <c r="D55" s="448"/>
      <c r="E55" s="448"/>
      <c r="F55" s="449"/>
      <c r="G55" s="303"/>
      <c r="H55" s="169"/>
      <c r="I55" s="169"/>
      <c r="J55" s="169"/>
      <c r="K55" s="144"/>
      <c r="L55" s="274" t="s">
        <v>788</v>
      </c>
      <c r="M55" s="275"/>
      <c r="N55" s="275"/>
      <c r="O55" s="275"/>
      <c r="P55" s="275"/>
      <c r="Q55" s="275"/>
      <c r="R55" s="275"/>
      <c r="S55" s="275"/>
      <c r="T55" s="275"/>
      <c r="U55" s="275"/>
      <c r="V55" s="275"/>
      <c r="W55" s="275"/>
      <c r="X55" s="275"/>
      <c r="Y55" s="275"/>
    </row>
    <row r="56" spans="1:25" ht="14.25" customHeight="1" x14ac:dyDescent="0.25">
      <c r="A56" s="447"/>
      <c r="B56" s="448"/>
      <c r="C56" s="448"/>
      <c r="D56" s="448"/>
      <c r="E56" s="448"/>
      <c r="F56" s="449"/>
      <c r="G56" s="303"/>
      <c r="H56" s="309" t="s">
        <v>783</v>
      </c>
      <c r="I56" s="310"/>
      <c r="J56" s="205" t="s">
        <v>77</v>
      </c>
      <c r="K56" s="144"/>
      <c r="L56" s="305" t="s">
        <v>754</v>
      </c>
      <c r="M56" s="306"/>
      <c r="N56" s="306"/>
      <c r="R56" s="1"/>
      <c r="S56" s="1"/>
      <c r="T56" s="1"/>
      <c r="U56" s="1"/>
      <c r="V56" s="1"/>
      <c r="W56" s="1"/>
      <c r="X56" s="1"/>
      <c r="Y56" s="1"/>
    </row>
    <row r="57" spans="1:25" ht="14.25" customHeight="1" x14ac:dyDescent="0.25">
      <c r="A57" s="447"/>
      <c r="B57" s="448"/>
      <c r="C57" s="448"/>
      <c r="D57" s="448"/>
      <c r="E57" s="448"/>
      <c r="F57" s="449"/>
      <c r="G57" s="303"/>
      <c r="H57" s="311" t="b">
        <v>0</v>
      </c>
      <c r="I57" s="312"/>
      <c r="J57" s="206" t="b">
        <v>0</v>
      </c>
      <c r="K57" s="144"/>
      <c r="L57" s="307">
        <f>VLOOKUP(Profession,Table_Professional_Skills,2,FALSE)</f>
        <v>0</v>
      </c>
      <c r="M57" s="308"/>
      <c r="N57" s="308"/>
      <c r="R57" s="1"/>
      <c r="T57" s="2"/>
      <c r="W57" s="1"/>
      <c r="X57" s="1"/>
    </row>
    <row r="58" spans="1:25" ht="14.25" customHeight="1" thickBot="1" x14ac:dyDescent="0.3">
      <c r="A58" s="447"/>
      <c r="B58" s="448"/>
      <c r="C58" s="448"/>
      <c r="D58" s="448"/>
      <c r="E58" s="448"/>
      <c r="F58" s="449"/>
      <c r="G58" s="303"/>
      <c r="H58" s="311" t="b">
        <v>0</v>
      </c>
      <c r="I58" s="312"/>
      <c r="J58" s="206" t="b">
        <v>0</v>
      </c>
      <c r="K58" s="144"/>
      <c r="L58" s="307">
        <f>VLOOKUP(Profession,Table_Professional_Skills,3,FALSE)</f>
        <v>0</v>
      </c>
      <c r="M58" s="308"/>
      <c r="N58" s="308"/>
      <c r="R58" s="1"/>
      <c r="T58" s="2"/>
      <c r="X58" s="1"/>
    </row>
    <row r="59" spans="1:25" ht="14.25" customHeight="1" x14ac:dyDescent="0.25">
      <c r="A59" s="447"/>
      <c r="B59" s="448"/>
      <c r="C59" s="448"/>
      <c r="D59" s="448"/>
      <c r="E59" s="448"/>
      <c r="F59" s="449"/>
      <c r="G59" s="303"/>
      <c r="H59" s="311" t="b">
        <v>0</v>
      </c>
      <c r="I59" s="312"/>
      <c r="J59" s="206" t="b">
        <v>0</v>
      </c>
      <c r="K59" s="144"/>
      <c r="L59" s="307">
        <f>VLOOKUP(Profession,Table_Professional_Skills,4,FALSE)</f>
        <v>0</v>
      </c>
      <c r="M59" s="308"/>
      <c r="N59" s="308"/>
      <c r="O59" s="280" t="s">
        <v>784</v>
      </c>
      <c r="P59" s="281"/>
      <c r="Q59" s="204" t="s">
        <v>785</v>
      </c>
      <c r="R59" s="205" t="s">
        <v>786</v>
      </c>
      <c r="T59" s="2"/>
      <c r="X59" s="1"/>
    </row>
    <row r="60" spans="1:25" ht="14.25" customHeight="1" x14ac:dyDescent="0.25">
      <c r="A60" s="447"/>
      <c r="B60" s="448"/>
      <c r="C60" s="448"/>
      <c r="D60" s="448"/>
      <c r="E60" s="448"/>
      <c r="F60" s="449"/>
      <c r="G60" s="303"/>
      <c r="H60" s="311" t="b">
        <v>0</v>
      </c>
      <c r="I60" s="312"/>
      <c r="J60" s="206" t="b">
        <v>0</v>
      </c>
      <c r="K60" s="144"/>
      <c r="L60" s="307">
        <f>VLOOKUP(Profession,Table_Professional_Skills,5,FALSE)</f>
        <v>0</v>
      </c>
      <c r="M60" s="308"/>
      <c r="N60" s="308"/>
      <c r="O60" s="283"/>
      <c r="P60" s="284"/>
      <c r="Q60" s="301">
        <v>10</v>
      </c>
      <c r="R60" s="302">
        <f>COUNTIF(H57:I71,"True")</f>
        <v>0</v>
      </c>
      <c r="X60" s="1"/>
    </row>
    <row r="61" spans="1:25" ht="14.25" customHeight="1" thickBot="1" x14ac:dyDescent="0.3">
      <c r="A61" s="447"/>
      <c r="B61" s="448"/>
      <c r="C61" s="448"/>
      <c r="D61" s="448"/>
      <c r="E61" s="448"/>
      <c r="F61" s="449"/>
      <c r="G61" s="303"/>
      <c r="H61" s="311" t="b">
        <v>0</v>
      </c>
      <c r="I61" s="312"/>
      <c r="J61" s="206" t="b">
        <v>0</v>
      </c>
      <c r="K61" s="144"/>
      <c r="L61" s="307">
        <f>VLOOKUP(Profession,Table_Professional_Skills,6,FALSE)</f>
        <v>0</v>
      </c>
      <c r="M61" s="308"/>
      <c r="N61" s="308"/>
      <c r="O61" s="299"/>
      <c r="P61" s="300"/>
      <c r="Q61" s="290"/>
      <c r="R61" s="291"/>
      <c r="X61" s="1"/>
    </row>
    <row r="62" spans="1:25" ht="14.25" customHeight="1" thickBot="1" x14ac:dyDescent="0.3">
      <c r="A62" s="447"/>
      <c r="B62" s="448"/>
      <c r="C62" s="448"/>
      <c r="D62" s="448"/>
      <c r="E62" s="448"/>
      <c r="F62" s="449"/>
      <c r="G62" s="303"/>
      <c r="H62" s="311" t="b">
        <v>0</v>
      </c>
      <c r="I62" s="312"/>
      <c r="J62" s="206" t="b">
        <v>0</v>
      </c>
      <c r="K62" s="144"/>
      <c r="L62" s="307">
        <f>VLOOKUP(Profession,Table_Professional_Skills,7,FALSE)</f>
        <v>0</v>
      </c>
      <c r="M62" s="308"/>
      <c r="N62" s="308"/>
      <c r="O62" s="1"/>
      <c r="P62" s="1"/>
      <c r="Q62" s="1"/>
      <c r="R62" s="1"/>
      <c r="X62" s="1"/>
    </row>
    <row r="63" spans="1:25" ht="14.25" customHeight="1" x14ac:dyDescent="0.25">
      <c r="A63" s="447"/>
      <c r="B63" s="448"/>
      <c r="C63" s="448"/>
      <c r="D63" s="448"/>
      <c r="E63" s="448"/>
      <c r="F63" s="449"/>
      <c r="G63" s="303"/>
      <c r="H63" s="311" t="b">
        <v>0</v>
      </c>
      <c r="I63" s="312"/>
      <c r="J63" s="206" t="b">
        <v>0</v>
      </c>
      <c r="K63" s="144"/>
      <c r="L63" s="307">
        <f>VLOOKUP(Profession,Table_Professional_Skills,8,FALSE)</f>
        <v>0</v>
      </c>
      <c r="M63" s="308"/>
      <c r="N63" s="308"/>
      <c r="O63" s="280" t="s">
        <v>787</v>
      </c>
      <c r="P63" s="281"/>
      <c r="Q63" s="204" t="s">
        <v>785</v>
      </c>
      <c r="R63" s="205" t="s">
        <v>786</v>
      </c>
      <c r="W63" s="1"/>
      <c r="X63" s="1"/>
    </row>
    <row r="64" spans="1:25" ht="14.25" customHeight="1" x14ac:dyDescent="0.25">
      <c r="A64" s="447"/>
      <c r="B64" s="448"/>
      <c r="C64" s="448"/>
      <c r="D64" s="448"/>
      <c r="E64" s="448"/>
      <c r="F64" s="449"/>
      <c r="G64" s="303"/>
      <c r="H64" s="311" t="b">
        <v>0</v>
      </c>
      <c r="I64" s="312"/>
      <c r="J64" s="206" t="b">
        <v>0</v>
      </c>
      <c r="K64" s="144"/>
      <c r="L64" s="307">
        <f>VLOOKUP(Profession,Table_Professional_Skills,9,FALSE)</f>
        <v>0</v>
      </c>
      <c r="M64" s="308"/>
      <c r="N64" s="308"/>
      <c r="O64" s="283"/>
      <c r="P64" s="284"/>
      <c r="Q64" s="301">
        <v>2</v>
      </c>
      <c r="R64" s="302">
        <f>COUNTIF(O66:P75,"True")</f>
        <v>0</v>
      </c>
      <c r="S64" s="1"/>
      <c r="W64" s="1"/>
      <c r="X64" s="1"/>
    </row>
    <row r="65" spans="1:24" ht="14.25" customHeight="1" thickBot="1" x14ac:dyDescent="0.3">
      <c r="A65" s="447"/>
      <c r="B65" s="448"/>
      <c r="C65" s="448"/>
      <c r="D65" s="448"/>
      <c r="E65" s="448"/>
      <c r="F65" s="449"/>
      <c r="G65" s="303"/>
      <c r="H65" s="311" t="b">
        <v>0</v>
      </c>
      <c r="I65" s="312"/>
      <c r="J65" s="206" t="b">
        <v>0</v>
      </c>
      <c r="K65" s="144"/>
      <c r="L65" s="307">
        <f>VLOOKUP(Profession,Table_Professional_Skills,10,FALSE)</f>
        <v>0</v>
      </c>
      <c r="M65" s="308"/>
      <c r="N65" s="308"/>
      <c r="O65" s="299"/>
      <c r="P65" s="300"/>
      <c r="Q65" s="290"/>
      <c r="R65" s="291"/>
      <c r="S65" s="1"/>
      <c r="T65" s="2"/>
      <c r="U65" s="1"/>
      <c r="V65" s="1"/>
      <c r="W65" s="1"/>
      <c r="X65" s="1"/>
    </row>
    <row r="66" spans="1:24" ht="14.25" customHeight="1" x14ac:dyDescent="0.25">
      <c r="A66" s="447"/>
      <c r="B66" s="448"/>
      <c r="C66" s="448"/>
      <c r="D66" s="448"/>
      <c r="E66" s="448"/>
      <c r="F66" s="449"/>
      <c r="G66" s="303"/>
      <c r="H66" s="311" t="b">
        <v>0</v>
      </c>
      <c r="I66" s="312"/>
      <c r="J66" s="206" t="b">
        <v>0</v>
      </c>
      <c r="K66" s="144"/>
      <c r="L66" s="307">
        <f>VLOOKUP(Profession,Table_Professional_Skills,11,FALSE)</f>
        <v>0</v>
      </c>
      <c r="M66" s="308"/>
      <c r="N66" s="308"/>
      <c r="R66" s="1"/>
      <c r="S66" s="1"/>
      <c r="T66" s="2"/>
      <c r="U66" s="1"/>
      <c r="V66" s="1"/>
      <c r="W66" s="1"/>
      <c r="X66" s="1"/>
    </row>
    <row r="67" spans="1:24" ht="14.25" customHeight="1" x14ac:dyDescent="0.25">
      <c r="A67" s="447"/>
      <c r="B67" s="448"/>
      <c r="C67" s="448"/>
      <c r="D67" s="448"/>
      <c r="E67" s="448"/>
      <c r="F67" s="449"/>
      <c r="G67" s="303"/>
      <c r="H67" s="311" t="b">
        <v>0</v>
      </c>
      <c r="I67" s="312"/>
      <c r="J67" s="206" t="b">
        <v>0</v>
      </c>
      <c r="K67" s="144"/>
      <c r="L67" s="307">
        <f>VLOOKUP(Profession,Table_Professional_Skills,12,FALSE)</f>
        <v>0</v>
      </c>
      <c r="M67" s="308"/>
      <c r="N67" s="308"/>
      <c r="R67" s="1"/>
      <c r="S67" s="1"/>
      <c r="T67" s="2"/>
      <c r="U67" s="1"/>
      <c r="V67" s="1"/>
      <c r="W67" s="1"/>
      <c r="X67" s="1"/>
    </row>
    <row r="68" spans="1:24" ht="14.25" customHeight="1" x14ac:dyDescent="0.25">
      <c r="A68" s="447"/>
      <c r="B68" s="448"/>
      <c r="C68" s="448"/>
      <c r="D68" s="448"/>
      <c r="E68" s="448"/>
      <c r="F68" s="449"/>
      <c r="G68" s="303"/>
      <c r="H68" s="311" t="b">
        <v>0</v>
      </c>
      <c r="I68" s="312"/>
      <c r="J68" s="206" t="b">
        <v>0</v>
      </c>
      <c r="K68" s="144"/>
      <c r="L68" s="307">
        <f>VLOOKUP(Profession,Table_Professional_Skills,13,FALSE)</f>
        <v>0</v>
      </c>
      <c r="M68" s="308"/>
      <c r="N68" s="308"/>
      <c r="R68" s="1"/>
      <c r="S68" s="1"/>
      <c r="T68" s="2"/>
      <c r="U68" s="1"/>
      <c r="V68" s="1"/>
      <c r="W68" s="1"/>
      <c r="X68" s="1"/>
    </row>
    <row r="69" spans="1:24" ht="14.25" customHeight="1" x14ac:dyDescent="0.25">
      <c r="A69" s="447"/>
      <c r="B69" s="448"/>
      <c r="C69" s="448"/>
      <c r="D69" s="448"/>
      <c r="E69" s="448"/>
      <c r="F69" s="449"/>
      <c r="G69" s="303"/>
      <c r="H69" s="311" t="b">
        <v>0</v>
      </c>
      <c r="I69" s="312"/>
      <c r="J69" s="206" t="b">
        <v>0</v>
      </c>
      <c r="K69" s="144"/>
      <c r="L69" s="307">
        <f>VLOOKUP(Profession,Table_Professional_Skills,14,FALSE)</f>
        <v>0</v>
      </c>
      <c r="M69" s="308"/>
      <c r="N69" s="308"/>
      <c r="R69" s="1"/>
      <c r="S69" s="1"/>
      <c r="T69" s="2"/>
      <c r="U69" s="1"/>
      <c r="V69" s="1"/>
      <c r="W69" s="1"/>
      <c r="X69" s="1"/>
    </row>
    <row r="70" spans="1:24" ht="14.25" customHeight="1" x14ac:dyDescent="0.25">
      <c r="A70" s="447"/>
      <c r="B70" s="448"/>
      <c r="C70" s="448"/>
      <c r="D70" s="448"/>
      <c r="E70" s="448"/>
      <c r="F70" s="449"/>
      <c r="G70" s="303"/>
      <c r="H70" s="311" t="b">
        <v>0</v>
      </c>
      <c r="I70" s="312"/>
      <c r="J70" s="206" t="b">
        <v>0</v>
      </c>
      <c r="K70" s="144"/>
      <c r="L70" s="307">
        <f>VLOOKUP(Profession,Table_Professional_Skills,15,FALSE)</f>
        <v>0</v>
      </c>
      <c r="M70" s="308"/>
      <c r="N70" s="308"/>
      <c r="R70" s="1"/>
      <c r="S70" s="1"/>
      <c r="T70" s="2"/>
      <c r="U70" s="1"/>
      <c r="V70" s="1"/>
      <c r="W70" s="1"/>
      <c r="X70" s="1"/>
    </row>
    <row r="71" spans="1:24" ht="14.25" customHeight="1" thickBot="1" x14ac:dyDescent="0.3">
      <c r="A71" s="450"/>
      <c r="B71" s="451"/>
      <c r="C71" s="451"/>
      <c r="D71" s="451"/>
      <c r="E71" s="451"/>
      <c r="F71" s="452"/>
      <c r="G71" s="304"/>
      <c r="H71" s="395" t="b">
        <v>0</v>
      </c>
      <c r="I71" s="396"/>
      <c r="J71" s="207" t="b">
        <v>0</v>
      </c>
      <c r="K71" s="144"/>
      <c r="L71" s="307">
        <f>VLOOKUP(Profession,Table_Professional_Skills,16,FALSE)</f>
        <v>0</v>
      </c>
      <c r="M71" s="308"/>
      <c r="N71" s="308"/>
      <c r="R71" s="1"/>
      <c r="S71" s="1"/>
      <c r="T71" s="2"/>
      <c r="U71" s="1"/>
      <c r="V71" s="1"/>
      <c r="W71" s="1"/>
      <c r="X71" s="1"/>
    </row>
    <row r="72" spans="1:24" ht="15.75" thickBot="1" x14ac:dyDescent="0.3">
      <c r="A72" s="444" t="s">
        <v>961</v>
      </c>
      <c r="B72" s="445"/>
      <c r="C72" s="445"/>
      <c r="D72" s="445"/>
      <c r="E72" s="445"/>
      <c r="F72" s="446"/>
      <c r="G72" s="274" t="s">
        <v>731</v>
      </c>
      <c r="H72" s="275"/>
      <c r="I72" s="275"/>
      <c r="J72" s="275"/>
      <c r="K72" s="143"/>
      <c r="L72" s="372" t="s">
        <v>727</v>
      </c>
      <c r="M72" s="373"/>
      <c r="N72" s="373"/>
      <c r="O72" s="373"/>
      <c r="P72" s="373"/>
      <c r="Q72" s="373"/>
      <c r="R72" s="373"/>
      <c r="S72" s="373"/>
      <c r="T72" s="374"/>
    </row>
    <row r="73" spans="1:24" ht="15" customHeight="1" thickBot="1" x14ac:dyDescent="0.3">
      <c r="A73" s="447"/>
      <c r="B73" s="448"/>
      <c r="C73" s="448"/>
      <c r="D73" s="448"/>
      <c r="E73" s="448"/>
      <c r="F73" s="449"/>
      <c r="G73" s="303" t="s">
        <v>726</v>
      </c>
      <c r="H73" s="158" t="s">
        <v>27</v>
      </c>
      <c r="I73" s="159" t="s">
        <v>26</v>
      </c>
      <c r="J73" s="156" t="s">
        <v>28</v>
      </c>
      <c r="K73" s="144"/>
      <c r="L73" s="418" t="s">
        <v>728</v>
      </c>
      <c r="M73" s="419"/>
      <c r="N73" s="419"/>
      <c r="O73" s="419"/>
      <c r="P73" s="419"/>
      <c r="Q73" s="419"/>
      <c r="R73" s="419"/>
      <c r="S73" s="419"/>
      <c r="T73" s="420"/>
    </row>
    <row r="74" spans="1:24" ht="15" customHeight="1" x14ac:dyDescent="0.25">
      <c r="A74" s="447"/>
      <c r="B74" s="448"/>
      <c r="C74" s="448"/>
      <c r="D74" s="448"/>
      <c r="E74" s="448"/>
      <c r="F74" s="449"/>
      <c r="G74" s="303"/>
      <c r="H74" s="160"/>
      <c r="I74" s="161"/>
      <c r="J74" s="157">
        <f t="shared" ref="J74:J83" si="20">VLOOKUP(H74,Stat_Bonus,2,FALSE)</f>
        <v>-20</v>
      </c>
      <c r="K74" s="144"/>
      <c r="L74" s="307" t="s">
        <v>16</v>
      </c>
      <c r="M74" s="308"/>
      <c r="N74" s="280" t="s">
        <v>729</v>
      </c>
      <c r="O74" s="281"/>
      <c r="P74" s="409">
        <f>SUM(J74:J83)</f>
        <v>-200</v>
      </c>
      <c r="Q74" s="294"/>
      <c r="R74" s="295"/>
      <c r="S74" s="165">
        <f>J74</f>
        <v>-20</v>
      </c>
      <c r="T74" s="166">
        <f t="shared" ref="T74:T83" si="21">VLOOKUP(I74,Stat_Bonus,2,FALSE)</f>
        <v>-20</v>
      </c>
    </row>
    <row r="75" spans="1:24" ht="15" customHeight="1" x14ac:dyDescent="0.25">
      <c r="A75" s="447"/>
      <c r="B75" s="448"/>
      <c r="C75" s="448"/>
      <c r="D75" s="448"/>
      <c r="E75" s="448"/>
      <c r="F75" s="449"/>
      <c r="G75" s="303"/>
      <c r="H75" s="160"/>
      <c r="I75" s="161"/>
      <c r="J75" s="157">
        <f t="shared" si="20"/>
        <v>-20</v>
      </c>
      <c r="K75" s="144"/>
      <c r="L75" s="307" t="s">
        <v>17</v>
      </c>
      <c r="M75" s="308"/>
      <c r="N75" s="283"/>
      <c r="O75" s="284"/>
      <c r="P75" s="410"/>
      <c r="Q75" s="410"/>
      <c r="R75" s="411"/>
      <c r="S75" s="165">
        <f t="shared" ref="S75:S83" si="22">J75</f>
        <v>-20</v>
      </c>
      <c r="T75" s="166">
        <f t="shared" si="21"/>
        <v>-20</v>
      </c>
    </row>
    <row r="76" spans="1:24" ht="15" customHeight="1" x14ac:dyDescent="0.25">
      <c r="A76" s="447"/>
      <c r="B76" s="448"/>
      <c r="C76" s="448"/>
      <c r="D76" s="448"/>
      <c r="E76" s="448"/>
      <c r="F76" s="449"/>
      <c r="G76" s="303"/>
      <c r="H76" s="160"/>
      <c r="I76" s="161"/>
      <c r="J76" s="157">
        <f t="shared" si="20"/>
        <v>-20</v>
      </c>
      <c r="K76" s="144"/>
      <c r="L76" s="307" t="s">
        <v>18</v>
      </c>
      <c r="M76" s="308"/>
      <c r="N76" s="283"/>
      <c r="O76" s="284"/>
      <c r="P76" s="410"/>
      <c r="Q76" s="410"/>
      <c r="R76" s="411"/>
      <c r="S76" s="165">
        <f t="shared" si="22"/>
        <v>-20</v>
      </c>
      <c r="T76" s="166">
        <f t="shared" si="21"/>
        <v>-20</v>
      </c>
    </row>
    <row r="77" spans="1:24" ht="15.75" customHeight="1" x14ac:dyDescent="0.25">
      <c r="A77" s="447"/>
      <c r="B77" s="448"/>
      <c r="C77" s="448"/>
      <c r="D77" s="448"/>
      <c r="E77" s="448"/>
      <c r="F77" s="449"/>
      <c r="G77" s="303"/>
      <c r="H77" s="160"/>
      <c r="I77" s="161"/>
      <c r="J77" s="157">
        <f t="shared" si="20"/>
        <v>-20</v>
      </c>
      <c r="K77" s="144"/>
      <c r="L77" s="307" t="s">
        <v>19</v>
      </c>
      <c r="M77" s="308"/>
      <c r="N77" s="283"/>
      <c r="O77" s="284"/>
      <c r="P77" s="410"/>
      <c r="Q77" s="410"/>
      <c r="R77" s="411"/>
      <c r="S77" s="165">
        <f t="shared" si="22"/>
        <v>-20</v>
      </c>
      <c r="T77" s="166">
        <f t="shared" si="21"/>
        <v>-20</v>
      </c>
    </row>
    <row r="78" spans="1:24" ht="15.75" thickBot="1" x14ac:dyDescent="0.3">
      <c r="A78" s="447"/>
      <c r="B78" s="448"/>
      <c r="C78" s="448"/>
      <c r="D78" s="448"/>
      <c r="E78" s="448"/>
      <c r="F78" s="449"/>
      <c r="G78" s="303"/>
      <c r="H78" s="160"/>
      <c r="I78" s="11"/>
      <c r="J78" s="157">
        <f t="shared" si="20"/>
        <v>-20</v>
      </c>
      <c r="K78" s="144"/>
      <c r="L78" s="307" t="s">
        <v>20</v>
      </c>
      <c r="M78" s="308"/>
      <c r="N78" s="407"/>
      <c r="O78" s="408"/>
      <c r="P78" s="412"/>
      <c r="Q78" s="412"/>
      <c r="R78" s="413"/>
      <c r="S78" s="165">
        <f t="shared" si="22"/>
        <v>-20</v>
      </c>
      <c r="T78" s="166">
        <f t="shared" si="21"/>
        <v>-20</v>
      </c>
    </row>
    <row r="79" spans="1:24" x14ac:dyDescent="0.25">
      <c r="A79" s="447"/>
      <c r="B79" s="448"/>
      <c r="C79" s="448"/>
      <c r="D79" s="448"/>
      <c r="E79" s="448"/>
      <c r="F79" s="449"/>
      <c r="G79" s="303"/>
      <c r="H79" s="160"/>
      <c r="I79" s="11"/>
      <c r="J79" s="157">
        <f t="shared" si="20"/>
        <v>-20</v>
      </c>
      <c r="K79" s="144"/>
      <c r="L79" s="307" t="s">
        <v>22</v>
      </c>
      <c r="M79" s="308"/>
      <c r="N79" s="283" t="s">
        <v>730</v>
      </c>
      <c r="O79" s="284"/>
      <c r="P79" s="414">
        <f>SUM(Source_Data!K5:K14)</f>
        <v>-200</v>
      </c>
      <c r="Q79" s="414"/>
      <c r="R79" s="415"/>
      <c r="S79" s="165">
        <f t="shared" si="22"/>
        <v>-20</v>
      </c>
      <c r="T79" s="166">
        <f t="shared" si="21"/>
        <v>-20</v>
      </c>
    </row>
    <row r="80" spans="1:24" x14ac:dyDescent="0.25">
      <c r="A80" s="447"/>
      <c r="B80" s="448"/>
      <c r="C80" s="448"/>
      <c r="D80" s="448"/>
      <c r="E80" s="448"/>
      <c r="F80" s="449"/>
      <c r="G80" s="303"/>
      <c r="H80" s="160"/>
      <c r="I80" s="11"/>
      <c r="J80" s="157">
        <f t="shared" si="20"/>
        <v>-20</v>
      </c>
      <c r="K80" s="144"/>
      <c r="L80" s="307" t="s">
        <v>21</v>
      </c>
      <c r="M80" s="308"/>
      <c r="N80" s="283"/>
      <c r="O80" s="284"/>
      <c r="P80" s="414"/>
      <c r="Q80" s="414"/>
      <c r="R80" s="415"/>
      <c r="S80" s="165">
        <f t="shared" si="22"/>
        <v>-20</v>
      </c>
      <c r="T80" s="166">
        <f t="shared" si="21"/>
        <v>-20</v>
      </c>
    </row>
    <row r="81" spans="1:20" x14ac:dyDescent="0.25">
      <c r="A81" s="447"/>
      <c r="B81" s="448"/>
      <c r="C81" s="448"/>
      <c r="D81" s="448"/>
      <c r="E81" s="448"/>
      <c r="F81" s="449"/>
      <c r="G81" s="303"/>
      <c r="H81" s="160"/>
      <c r="I81" s="11"/>
      <c r="J81" s="157">
        <f t="shared" si="20"/>
        <v>-20</v>
      </c>
      <c r="K81" s="144"/>
      <c r="L81" s="307" t="s">
        <v>23</v>
      </c>
      <c r="M81" s="308"/>
      <c r="N81" s="283"/>
      <c r="O81" s="284"/>
      <c r="P81" s="414"/>
      <c r="Q81" s="414"/>
      <c r="R81" s="415"/>
      <c r="S81" s="165">
        <f t="shared" si="22"/>
        <v>-20</v>
      </c>
      <c r="T81" s="166">
        <f t="shared" si="21"/>
        <v>-20</v>
      </c>
    </row>
    <row r="82" spans="1:20" x14ac:dyDescent="0.25">
      <c r="A82" s="447"/>
      <c r="B82" s="448"/>
      <c r="C82" s="448"/>
      <c r="D82" s="448"/>
      <c r="E82" s="448"/>
      <c r="F82" s="449"/>
      <c r="G82" s="303"/>
      <c r="H82" s="160"/>
      <c r="I82" s="11"/>
      <c r="J82" s="157">
        <f t="shared" si="20"/>
        <v>-20</v>
      </c>
      <c r="K82" s="144"/>
      <c r="L82" s="307" t="s">
        <v>24</v>
      </c>
      <c r="M82" s="308"/>
      <c r="N82" s="283"/>
      <c r="O82" s="284"/>
      <c r="P82" s="414"/>
      <c r="Q82" s="414"/>
      <c r="R82" s="415"/>
      <c r="S82" s="165">
        <f t="shared" si="22"/>
        <v>-20</v>
      </c>
      <c r="T82" s="166">
        <f t="shared" si="21"/>
        <v>-20</v>
      </c>
    </row>
    <row r="83" spans="1:20" ht="15.75" thickBot="1" x14ac:dyDescent="0.3">
      <c r="A83" s="450"/>
      <c r="B83" s="451"/>
      <c r="C83" s="451"/>
      <c r="D83" s="451"/>
      <c r="E83" s="451"/>
      <c r="F83" s="452"/>
      <c r="G83" s="304"/>
      <c r="H83" s="162"/>
      <c r="I83" s="25"/>
      <c r="J83" s="164">
        <f t="shared" si="20"/>
        <v>-20</v>
      </c>
      <c r="K83" s="145"/>
      <c r="L83" s="341" t="s">
        <v>25</v>
      </c>
      <c r="M83" s="313"/>
      <c r="N83" s="299"/>
      <c r="O83" s="300"/>
      <c r="P83" s="416"/>
      <c r="Q83" s="416"/>
      <c r="R83" s="417"/>
      <c r="S83" s="167">
        <f t="shared" si="22"/>
        <v>-20</v>
      </c>
      <c r="T83" s="168">
        <f t="shared" si="21"/>
        <v>-20</v>
      </c>
    </row>
    <row r="84" spans="1:20" ht="15.75" thickBot="1" x14ac:dyDescent="0.3">
      <c r="A84" s="444" t="s">
        <v>962</v>
      </c>
      <c r="B84" s="445"/>
      <c r="C84" s="445"/>
      <c r="D84" s="445"/>
      <c r="E84" s="445"/>
      <c r="F84" s="446"/>
      <c r="G84" s="274" t="s">
        <v>732</v>
      </c>
      <c r="H84" s="275"/>
      <c r="I84" s="275"/>
      <c r="J84" s="275"/>
      <c r="K84" s="143"/>
      <c r="L84" s="170" t="s">
        <v>738</v>
      </c>
      <c r="M84" s="171"/>
      <c r="N84" s="139"/>
      <c r="O84" s="139"/>
      <c r="P84" s="139"/>
      <c r="Q84" s="139"/>
      <c r="R84" s="139"/>
      <c r="S84" s="171"/>
      <c r="T84" s="143"/>
    </row>
    <row r="85" spans="1:20" ht="15" customHeight="1" x14ac:dyDescent="0.25">
      <c r="A85" s="447"/>
      <c r="B85" s="448"/>
      <c r="C85" s="448"/>
      <c r="D85" s="448"/>
      <c r="E85" s="448"/>
      <c r="F85" s="449"/>
      <c r="G85" s="397" t="s">
        <v>352</v>
      </c>
      <c r="H85" s="401" t="e">
        <f>"Roll (or Choose) "&amp;IF(VLOOKUP(Race,Table_Race,20,FALSE)="S","1d10",IF(VLOOKUP(Race,Table_Race,20,FALSE)="B","3d10","2d10"))</f>
        <v>#N/A</v>
      </c>
      <c r="I85" s="401"/>
      <c r="J85" s="403"/>
      <c r="K85" s="144"/>
      <c r="L85" s="305" t="s">
        <v>735</v>
      </c>
      <c r="M85" s="306"/>
      <c r="N85" s="1" t="e">
        <f>VLOOKUP(Race,Table_Race,IF(H11="Male",22,23),FALSE)</f>
        <v>#N/A</v>
      </c>
      <c r="O85" s="330" t="e">
        <f>ROUNDDOWN(N87/12,0)&amp;" ft "&amp;MOD(N87,12)&amp;" in"</f>
        <v>#N/A</v>
      </c>
      <c r="P85" s="330"/>
      <c r="Q85" s="330"/>
      <c r="R85" s="370" t="s">
        <v>43</v>
      </c>
      <c r="S85" s="324"/>
      <c r="T85" s="325"/>
    </row>
    <row r="86" spans="1:20" ht="15" customHeight="1" x14ac:dyDescent="0.25">
      <c r="A86" s="447"/>
      <c r="B86" s="448"/>
      <c r="C86" s="448"/>
      <c r="D86" s="448"/>
      <c r="E86" s="448"/>
      <c r="F86" s="449"/>
      <c r="G86" s="397"/>
      <c r="H86" s="401"/>
      <c r="I86" s="401"/>
      <c r="J86" s="393"/>
      <c r="K86" s="144"/>
      <c r="L86" s="305" t="s">
        <v>387</v>
      </c>
      <c r="M86" s="306"/>
      <c r="N86" s="1" t="e">
        <f>J85-IF(VLOOKUP(Race,Table_Race,20,FALSE)="S","5.5",IF(VLOOKUP(Race,Table_Race,20,FALSE)="B","16.5","11"))</f>
        <v>#N/A</v>
      </c>
      <c r="O86" s="330"/>
      <c r="P86" s="330"/>
      <c r="Q86" s="330"/>
      <c r="R86" s="174" t="s">
        <v>733</v>
      </c>
      <c r="S86" s="99" t="e">
        <f>VLOOKUP(Race,Table_Race,21,FALSE)</f>
        <v>#N/A</v>
      </c>
      <c r="T86" s="22" t="s">
        <v>740</v>
      </c>
    </row>
    <row r="87" spans="1:20" x14ac:dyDescent="0.25">
      <c r="A87" s="447"/>
      <c r="B87" s="448"/>
      <c r="C87" s="448"/>
      <c r="D87" s="448"/>
      <c r="E87" s="448"/>
      <c r="F87" s="449"/>
      <c r="G87" s="397"/>
      <c r="H87" s="401"/>
      <c r="I87" s="401"/>
      <c r="J87" s="393"/>
      <c r="K87" s="144"/>
      <c r="L87" s="305" t="s">
        <v>736</v>
      </c>
      <c r="M87" s="306"/>
      <c r="N87" s="1" t="e">
        <f>N85+N86</f>
        <v>#N/A</v>
      </c>
      <c r="O87" s="330"/>
      <c r="P87" s="330"/>
      <c r="Q87" s="330"/>
      <c r="R87" s="174" t="s">
        <v>387</v>
      </c>
      <c r="S87" s="99" t="e">
        <f>(N86/6)</f>
        <v>#N/A</v>
      </c>
      <c r="T87" s="22" t="s">
        <v>740</v>
      </c>
    </row>
    <row r="88" spans="1:20" ht="15.75" thickBot="1" x14ac:dyDescent="0.3">
      <c r="A88" s="447"/>
      <c r="B88" s="448"/>
      <c r="C88" s="448"/>
      <c r="D88" s="448"/>
      <c r="E88" s="448"/>
      <c r="F88" s="449"/>
      <c r="G88" s="398"/>
      <c r="H88" s="402"/>
      <c r="I88" s="402"/>
      <c r="J88" s="404"/>
      <c r="K88" s="172"/>
      <c r="L88" s="394" t="s">
        <v>741</v>
      </c>
      <c r="M88" s="314"/>
      <c r="N88" s="173" t="e">
        <f>QU</f>
        <v>#N/A</v>
      </c>
      <c r="O88" s="331"/>
      <c r="P88" s="331"/>
      <c r="Q88" s="331"/>
      <c r="R88" s="174" t="s">
        <v>35</v>
      </c>
      <c r="S88" s="99" t="e">
        <f>20+QU/2+SUM(S86:S87)</f>
        <v>#N/A</v>
      </c>
      <c r="T88" s="22" t="s">
        <v>740</v>
      </c>
    </row>
    <row r="89" spans="1:20" x14ac:dyDescent="0.25">
      <c r="A89" s="447"/>
      <c r="B89" s="448"/>
      <c r="C89" s="448"/>
      <c r="D89" s="448"/>
      <c r="E89" s="448"/>
      <c r="F89" s="449"/>
      <c r="G89" s="399" t="s">
        <v>739</v>
      </c>
      <c r="H89" s="392" t="str">
        <f>"Roll (or Choose) 1d10"</f>
        <v>Roll (or Choose) 1d10</v>
      </c>
      <c r="I89" s="392"/>
      <c r="J89" s="393"/>
      <c r="K89" s="144"/>
      <c r="L89" s="305" t="s">
        <v>13</v>
      </c>
      <c r="M89" s="306"/>
      <c r="N89" s="1" t="str">
        <f>IF(J89&lt;4,"Light",IF(J89&gt;7,"Heavy","Medium"))</f>
        <v>Light</v>
      </c>
      <c r="O89" s="385" t="e">
        <f>ROUND(N92,1)&amp;" lbs"</f>
        <v>#N/A</v>
      </c>
      <c r="P89" s="330"/>
      <c r="Q89" s="330"/>
      <c r="R89" s="386" t="s">
        <v>742</v>
      </c>
      <c r="S89" s="388" t="e">
        <f>S88&amp;" ft/rnd"</f>
        <v>#N/A</v>
      </c>
      <c r="T89" s="389"/>
    </row>
    <row r="90" spans="1:20" x14ac:dyDescent="0.25">
      <c r="A90" s="447"/>
      <c r="B90" s="448"/>
      <c r="C90" s="448"/>
      <c r="D90" s="448"/>
      <c r="E90" s="448"/>
      <c r="F90" s="449"/>
      <c r="G90" s="399"/>
      <c r="H90" s="392"/>
      <c r="I90" s="392"/>
      <c r="J90" s="393"/>
      <c r="K90" s="144"/>
      <c r="L90" s="305" t="s">
        <v>734</v>
      </c>
      <c r="M90" s="306"/>
      <c r="N90" s="99" t="e">
        <f>VLOOKUP(Race,Table_Race,IF(H11="Male",24,25),FALSE)</f>
        <v>#N/A</v>
      </c>
      <c r="O90" s="330"/>
      <c r="P90" s="330"/>
      <c r="Q90" s="330"/>
      <c r="R90" s="386"/>
      <c r="S90" s="388"/>
      <c r="T90" s="389"/>
    </row>
    <row r="91" spans="1:20" x14ac:dyDescent="0.25">
      <c r="A91" s="447"/>
      <c r="B91" s="448"/>
      <c r="C91" s="448"/>
      <c r="D91" s="448"/>
      <c r="E91" s="448"/>
      <c r="F91" s="449"/>
      <c r="G91" s="399"/>
      <c r="H91" s="392" t="str">
        <f>"Roll (or Choose) "&amp;IF(OR(J89&lt;4,J89&gt;7),"3d10","2d10")</f>
        <v>Roll (or Choose) 3d10</v>
      </c>
      <c r="I91" s="392"/>
      <c r="J91" s="393"/>
      <c r="K91" s="144"/>
      <c r="L91" s="305" t="s">
        <v>387</v>
      </c>
      <c r="M91" s="306"/>
      <c r="N91" s="99" t="e">
        <f>(VLOOKUP(Race,Table_Race,26,FALSE)*N86)</f>
        <v>#N/A</v>
      </c>
      <c r="O91" s="330"/>
      <c r="P91" s="330"/>
      <c r="Q91" s="330"/>
      <c r="R91" s="386" t="s">
        <v>743</v>
      </c>
      <c r="S91" s="388" t="e">
        <f>MROUND(S88,5)&amp;" ft/rnd"</f>
        <v>#N/A</v>
      </c>
      <c r="T91" s="389"/>
    </row>
    <row r="92" spans="1:20" ht="15.75" thickBot="1" x14ac:dyDescent="0.3">
      <c r="A92" s="450"/>
      <c r="B92" s="451"/>
      <c r="C92" s="451"/>
      <c r="D92" s="451"/>
      <c r="E92" s="451"/>
      <c r="F92" s="452"/>
      <c r="G92" s="400"/>
      <c r="H92" s="405"/>
      <c r="I92" s="405"/>
      <c r="J92" s="406"/>
      <c r="K92" s="145"/>
      <c r="L92" s="383" t="s">
        <v>737</v>
      </c>
      <c r="M92" s="384"/>
      <c r="N92" s="86" t="e">
        <f>(1+(IF(J89&lt;4,(-J91/100),IF(J89&gt;7,(J91/100),(J91-11)/100))))*SUM(N90:N91)</f>
        <v>#N/A</v>
      </c>
      <c r="O92" s="338"/>
      <c r="P92" s="338"/>
      <c r="Q92" s="338"/>
      <c r="R92" s="387"/>
      <c r="S92" s="390"/>
      <c r="T92" s="391"/>
    </row>
    <row r="93" spans="1:20" x14ac:dyDescent="0.25">
      <c r="A93" s="444" t="s">
        <v>963</v>
      </c>
      <c r="B93" s="445"/>
      <c r="C93" s="445"/>
      <c r="D93" s="445"/>
      <c r="E93" s="445"/>
      <c r="F93" s="446"/>
      <c r="G93" s="274" t="s">
        <v>744</v>
      </c>
      <c r="H93" s="275"/>
      <c r="I93" s="275"/>
      <c r="J93" s="275"/>
      <c r="K93" s="143"/>
      <c r="L93" s="372" t="s">
        <v>750</v>
      </c>
      <c r="M93" s="373"/>
      <c r="N93" s="373"/>
      <c r="O93" s="373"/>
      <c r="P93" s="373"/>
      <c r="Q93" s="374"/>
    </row>
    <row r="94" spans="1:20" ht="15.75" thickBot="1" x14ac:dyDescent="0.3">
      <c r="A94" s="447"/>
      <c r="B94" s="448"/>
      <c r="C94" s="448"/>
      <c r="D94" s="448"/>
      <c r="E94" s="448"/>
      <c r="F94" s="449"/>
      <c r="G94" s="377" t="s">
        <v>388</v>
      </c>
      <c r="H94" s="379" t="s">
        <v>747</v>
      </c>
      <c r="I94" s="379"/>
      <c r="J94" s="379"/>
      <c r="K94" s="144"/>
      <c r="L94" s="367" t="s">
        <v>748</v>
      </c>
      <c r="M94" s="368"/>
      <c r="N94" s="368"/>
      <c r="O94" s="368"/>
      <c r="P94" s="368" t="s">
        <v>749</v>
      </c>
      <c r="Q94" s="369"/>
    </row>
    <row r="95" spans="1:20" ht="15" customHeight="1" x14ac:dyDescent="0.25">
      <c r="A95" s="447"/>
      <c r="B95" s="448"/>
      <c r="C95" s="448"/>
      <c r="D95" s="448"/>
      <c r="E95" s="448"/>
      <c r="F95" s="449"/>
      <c r="G95" s="377"/>
      <c r="H95" s="375" t="s">
        <v>116</v>
      </c>
      <c r="I95" s="375"/>
      <c r="J95" s="180"/>
      <c r="K95" s="144"/>
      <c r="L95" s="380" t="e">
        <f>ST+AG+ST</f>
        <v>#N/A</v>
      </c>
      <c r="M95" s="381"/>
      <c r="N95" s="382" t="s">
        <v>745</v>
      </c>
      <c r="O95" s="382"/>
      <c r="P95" s="370" t="e">
        <f>HLOOKUP("Combat Training "&amp;J95,Table_Profession_Skills,VLOOKUP(Profession,Table_Profession,2,FALSE)+1,FALSE)</f>
        <v>#N/A</v>
      </c>
      <c r="Q95" s="325"/>
    </row>
    <row r="96" spans="1:20" ht="15" customHeight="1" x14ac:dyDescent="0.25">
      <c r="A96" s="447"/>
      <c r="B96" s="448"/>
      <c r="C96" s="448"/>
      <c r="D96" s="448"/>
      <c r="E96" s="448"/>
      <c r="F96" s="449"/>
      <c r="G96" s="377"/>
      <c r="H96" s="375" t="s">
        <v>118</v>
      </c>
      <c r="I96" s="375"/>
      <c r="J96" s="181"/>
      <c r="K96" s="144"/>
      <c r="L96" s="380" t="e">
        <f>AG+ST+AG</f>
        <v>#N/A</v>
      </c>
      <c r="M96" s="381"/>
      <c r="N96" s="382" t="s">
        <v>746</v>
      </c>
      <c r="O96" s="382"/>
      <c r="P96" s="370" t="e">
        <f>HLOOKUP("Combat Training "&amp;J96,Table_Profession_Skills,VLOOKUP(Profession,Table_Profession,2,FALSE)+1,FALSE)</f>
        <v>#N/A</v>
      </c>
      <c r="Q96" s="325"/>
    </row>
    <row r="97" spans="1:23" ht="15" customHeight="1" x14ac:dyDescent="0.25">
      <c r="A97" s="447"/>
      <c r="B97" s="448"/>
      <c r="C97" s="448"/>
      <c r="D97" s="448"/>
      <c r="E97" s="448"/>
      <c r="F97" s="449"/>
      <c r="G97" s="377"/>
      <c r="H97" s="375" t="s">
        <v>53</v>
      </c>
      <c r="I97" s="375"/>
      <c r="J97" s="181"/>
      <c r="K97" s="144"/>
      <c r="L97" s="380" t="e">
        <f>ST+AG+ST</f>
        <v>#N/A</v>
      </c>
      <c r="M97" s="381"/>
      <c r="N97" s="382" t="s">
        <v>745</v>
      </c>
      <c r="O97" s="382"/>
      <c r="P97" s="370" t="e">
        <f>HLOOKUP("Combat Training "&amp;J97,Table_Profession_Skills,VLOOKUP(Profession,Table_Profession,2,FALSE)+1,FALSE)</f>
        <v>#N/A</v>
      </c>
      <c r="Q97" s="325"/>
    </row>
    <row r="98" spans="1:23" ht="15.75" customHeight="1" thickBot="1" x14ac:dyDescent="0.3">
      <c r="A98" s="450"/>
      <c r="B98" s="451"/>
      <c r="C98" s="451"/>
      <c r="D98" s="451"/>
      <c r="E98" s="451"/>
      <c r="F98" s="452"/>
      <c r="G98" s="378"/>
      <c r="H98" s="376" t="s">
        <v>117</v>
      </c>
      <c r="I98" s="376"/>
      <c r="J98" s="182"/>
      <c r="K98" s="172"/>
      <c r="L98" s="176" t="e">
        <f>ST+AG+ST</f>
        <v>#N/A</v>
      </c>
      <c r="M98" s="177" t="e">
        <f>AG+ST+AG</f>
        <v>#N/A</v>
      </c>
      <c r="N98" s="45" t="s">
        <v>745</v>
      </c>
      <c r="O98" s="45" t="s">
        <v>746</v>
      </c>
      <c r="P98" s="371" t="e">
        <f>HLOOKUP("Combat Training "&amp;J98,Table_Profession_Skills,VLOOKUP(Profession,Table_Profession,2,FALSE)+1,FALSE)</f>
        <v>#N/A</v>
      </c>
      <c r="Q98" s="366"/>
    </row>
    <row r="99" spans="1:23" ht="15" customHeight="1" x14ac:dyDescent="0.25">
      <c r="A99" s="444" t="s">
        <v>964</v>
      </c>
      <c r="B99" s="453"/>
      <c r="C99" s="453"/>
      <c r="D99" s="453"/>
      <c r="E99" s="453"/>
      <c r="F99" s="454"/>
      <c r="G99" s="274" t="s">
        <v>751</v>
      </c>
      <c r="H99" s="275"/>
      <c r="I99" s="275"/>
      <c r="J99" s="275"/>
      <c r="K99" s="143"/>
      <c r="L99" s="170" t="s">
        <v>778</v>
      </c>
      <c r="M99" s="188"/>
      <c r="N99" s="188"/>
      <c r="O99" s="188"/>
      <c r="P99" s="189"/>
      <c r="Q99" s="275" t="s">
        <v>776</v>
      </c>
      <c r="R99" s="275"/>
      <c r="S99" s="275"/>
      <c r="T99" s="275"/>
      <c r="U99" s="275"/>
      <c r="V99" s="275"/>
      <c r="W99" s="322"/>
    </row>
    <row r="100" spans="1:23" ht="15" customHeight="1" thickBot="1" x14ac:dyDescent="0.3">
      <c r="A100" s="455"/>
      <c r="B100" s="456"/>
      <c r="C100" s="456"/>
      <c r="D100" s="456"/>
      <c r="E100" s="456"/>
      <c r="F100" s="457"/>
      <c r="G100" s="178"/>
      <c r="H100" s="138" t="s">
        <v>752</v>
      </c>
      <c r="I100" s="138" t="s">
        <v>753</v>
      </c>
      <c r="J100" s="138" t="s">
        <v>408</v>
      </c>
      <c r="K100" s="144"/>
      <c r="L100" s="305" t="s">
        <v>754</v>
      </c>
      <c r="M100" s="306"/>
      <c r="N100" s="306"/>
      <c r="O100" s="324" t="s">
        <v>389</v>
      </c>
      <c r="P100" s="325"/>
      <c r="Q100" s="314" t="s">
        <v>754</v>
      </c>
      <c r="R100" s="314"/>
      <c r="S100" s="314"/>
      <c r="T100" s="321" t="s">
        <v>389</v>
      </c>
      <c r="U100" s="321"/>
      <c r="V100" s="321" t="s">
        <v>76</v>
      </c>
      <c r="W100" s="323"/>
    </row>
    <row r="101" spans="1:23" ht="15" customHeight="1" x14ac:dyDescent="0.3">
      <c r="A101" s="455"/>
      <c r="B101" s="456"/>
      <c r="C101" s="456"/>
      <c r="D101" s="456"/>
      <c r="E101" s="456"/>
      <c r="F101" s="457"/>
      <c r="G101" s="335" t="s">
        <v>80</v>
      </c>
      <c r="H101" s="329">
        <f>HLOOKUP(L101,Table_Culture_Ranks,VLOOKUP(Culture,Table_Culture,2,FALSE)+1,FALSE)</f>
        <v>0</v>
      </c>
      <c r="I101" s="329">
        <f>H101-SUM(J101:J103)</f>
        <v>0</v>
      </c>
      <c r="J101" s="183"/>
      <c r="K101" s="179"/>
      <c r="L101" s="339" t="s">
        <v>81</v>
      </c>
      <c r="M101" s="340"/>
      <c r="N101" s="340"/>
      <c r="O101" s="353" t="s">
        <v>755</v>
      </c>
      <c r="P101" s="354"/>
      <c r="Q101" s="308" t="s">
        <v>86</v>
      </c>
      <c r="R101" s="308"/>
      <c r="S101" s="308"/>
      <c r="T101" s="326"/>
      <c r="U101" s="326"/>
      <c r="V101" s="324">
        <f t="shared" ref="V101:V119" si="23">HLOOKUP(Q101,Table_Culture_Ranks,VLOOKUP(Culture,Table_Culture,2,FALSE)+1,FALSE)</f>
        <v>0</v>
      </c>
      <c r="W101" s="325"/>
    </row>
    <row r="102" spans="1:23" ht="15" customHeight="1" x14ac:dyDescent="0.3">
      <c r="A102" s="455"/>
      <c r="B102" s="456"/>
      <c r="C102" s="456"/>
      <c r="D102" s="456"/>
      <c r="E102" s="456"/>
      <c r="F102" s="457"/>
      <c r="G102" s="336"/>
      <c r="H102" s="330"/>
      <c r="I102" s="330"/>
      <c r="J102" s="184"/>
      <c r="K102" s="144"/>
      <c r="L102" s="307" t="s">
        <v>81</v>
      </c>
      <c r="M102" s="308"/>
      <c r="N102" s="308"/>
      <c r="O102" s="317" t="s">
        <v>756</v>
      </c>
      <c r="P102" s="318"/>
      <c r="Q102" s="308" t="s">
        <v>87</v>
      </c>
      <c r="R102" s="308"/>
      <c r="S102" s="308"/>
      <c r="T102" s="326"/>
      <c r="U102" s="326"/>
      <c r="V102" s="324">
        <f t="shared" si="23"/>
        <v>0</v>
      </c>
      <c r="W102" s="325"/>
    </row>
    <row r="103" spans="1:23" ht="15" customHeight="1" thickBot="1" x14ac:dyDescent="0.35">
      <c r="A103" s="455"/>
      <c r="B103" s="456"/>
      <c r="C103" s="456"/>
      <c r="D103" s="456"/>
      <c r="E103" s="456"/>
      <c r="F103" s="457"/>
      <c r="G103" s="336"/>
      <c r="H103" s="331"/>
      <c r="I103" s="331"/>
      <c r="J103" s="185"/>
      <c r="K103" s="172"/>
      <c r="L103" s="315" t="s">
        <v>81</v>
      </c>
      <c r="M103" s="316"/>
      <c r="N103" s="316"/>
      <c r="O103" s="319" t="s">
        <v>757</v>
      </c>
      <c r="P103" s="320"/>
      <c r="Q103" s="308" t="s">
        <v>300</v>
      </c>
      <c r="R103" s="308"/>
      <c r="S103" s="308"/>
      <c r="T103" s="326"/>
      <c r="U103" s="326"/>
      <c r="V103" s="324">
        <f t="shared" si="23"/>
        <v>0</v>
      </c>
      <c r="W103" s="325"/>
    </row>
    <row r="104" spans="1:23" ht="15" customHeight="1" x14ac:dyDescent="0.3">
      <c r="A104" s="455"/>
      <c r="B104" s="456"/>
      <c r="C104" s="456"/>
      <c r="D104" s="456"/>
      <c r="E104" s="456"/>
      <c r="F104" s="457"/>
      <c r="G104" s="336"/>
      <c r="H104" s="330">
        <f>HLOOKUP(L104,Table_Culture_Ranks,VLOOKUP(Culture,Table_Culture,2,FALSE)+1,FALSE)</f>
        <v>0</v>
      </c>
      <c r="I104" s="330">
        <f>H104-SUM(J104:J106)</f>
        <v>0</v>
      </c>
      <c r="J104" s="184"/>
      <c r="K104" s="144"/>
      <c r="L104" s="307" t="s">
        <v>82</v>
      </c>
      <c r="M104" s="308"/>
      <c r="N104" s="308"/>
      <c r="O104" s="317" t="s">
        <v>755</v>
      </c>
      <c r="P104" s="318"/>
      <c r="Q104" s="308" t="s">
        <v>105</v>
      </c>
      <c r="R104" s="308"/>
      <c r="S104" s="308"/>
      <c r="T104" s="326"/>
      <c r="U104" s="326"/>
      <c r="V104" s="324">
        <f t="shared" si="23"/>
        <v>0</v>
      </c>
      <c r="W104" s="325"/>
    </row>
    <row r="105" spans="1:23" ht="15" customHeight="1" x14ac:dyDescent="0.3">
      <c r="A105" s="455"/>
      <c r="B105" s="456"/>
      <c r="C105" s="456"/>
      <c r="D105" s="456"/>
      <c r="E105" s="456"/>
      <c r="F105" s="457"/>
      <c r="G105" s="336"/>
      <c r="H105" s="330"/>
      <c r="I105" s="330"/>
      <c r="J105" s="184"/>
      <c r="K105" s="144"/>
      <c r="L105" s="307" t="s">
        <v>82</v>
      </c>
      <c r="M105" s="308"/>
      <c r="N105" s="308"/>
      <c r="O105" s="317" t="s">
        <v>756</v>
      </c>
      <c r="P105" s="318"/>
      <c r="Q105" s="308" t="s">
        <v>301</v>
      </c>
      <c r="R105" s="308"/>
      <c r="S105" s="308"/>
      <c r="T105" s="326"/>
      <c r="U105" s="326"/>
      <c r="V105" s="324">
        <f t="shared" si="23"/>
        <v>0</v>
      </c>
      <c r="W105" s="325"/>
    </row>
    <row r="106" spans="1:23" ht="15" customHeight="1" thickBot="1" x14ac:dyDescent="0.35">
      <c r="A106" s="455"/>
      <c r="B106" s="456"/>
      <c r="C106" s="456"/>
      <c r="D106" s="456"/>
      <c r="E106" s="456"/>
      <c r="F106" s="457"/>
      <c r="G106" s="364"/>
      <c r="H106" s="331"/>
      <c r="I106" s="331"/>
      <c r="J106" s="185"/>
      <c r="K106" s="172"/>
      <c r="L106" s="307" t="s">
        <v>82</v>
      </c>
      <c r="M106" s="308"/>
      <c r="N106" s="308"/>
      <c r="O106" s="317" t="s">
        <v>757</v>
      </c>
      <c r="P106" s="318"/>
      <c r="Q106" s="308" t="s">
        <v>139</v>
      </c>
      <c r="R106" s="308"/>
      <c r="S106" s="308"/>
      <c r="T106" s="326"/>
      <c r="U106" s="326"/>
      <c r="V106" s="324">
        <f t="shared" ref="V106" si="24">HLOOKUP(Q106,Table_Culture_Ranks,VLOOKUP(Culture,Table_Culture,2,FALSE)+1,FALSE)</f>
        <v>0</v>
      </c>
      <c r="W106" s="325"/>
    </row>
    <row r="107" spans="1:23" ht="15" customHeight="1" x14ac:dyDescent="0.3">
      <c r="A107" s="455"/>
      <c r="B107" s="456"/>
      <c r="C107" s="456"/>
      <c r="D107" s="456"/>
      <c r="E107" s="456"/>
      <c r="F107" s="457"/>
      <c r="G107" s="350" t="s">
        <v>115</v>
      </c>
      <c r="H107" s="329">
        <f>HLOOKUP(L107,Table_Culture_Ranks,VLOOKUP(Culture,Table_Culture,2,FALSE)+1,FALSE)</f>
        <v>0</v>
      </c>
      <c r="I107" s="329">
        <f>H107-SUM(J107:J109)</f>
        <v>0</v>
      </c>
      <c r="J107" s="186"/>
      <c r="K107" s="179"/>
      <c r="L107" s="339" t="s">
        <v>117</v>
      </c>
      <c r="M107" s="340"/>
      <c r="N107" s="340"/>
      <c r="O107" s="353" t="s">
        <v>428</v>
      </c>
      <c r="P107" s="354"/>
      <c r="Q107" s="308" t="s">
        <v>142</v>
      </c>
      <c r="R107" s="308"/>
      <c r="S107" s="308"/>
      <c r="T107" s="326"/>
      <c r="U107" s="326"/>
      <c r="V107" s="324">
        <f t="shared" si="23"/>
        <v>0</v>
      </c>
      <c r="W107" s="325"/>
    </row>
    <row r="108" spans="1:23" ht="15" customHeight="1" x14ac:dyDescent="0.3">
      <c r="A108" s="455"/>
      <c r="B108" s="456"/>
      <c r="C108" s="456"/>
      <c r="D108" s="456"/>
      <c r="E108" s="456"/>
      <c r="F108" s="457"/>
      <c r="G108" s="351"/>
      <c r="H108" s="330"/>
      <c r="I108" s="330"/>
      <c r="J108" s="184"/>
      <c r="K108" s="144"/>
      <c r="L108" s="307" t="s">
        <v>117</v>
      </c>
      <c r="M108" s="308"/>
      <c r="N108" s="308"/>
      <c r="O108" s="317" t="s">
        <v>429</v>
      </c>
      <c r="P108" s="318"/>
      <c r="Q108" s="308" t="s">
        <v>143</v>
      </c>
      <c r="R108" s="308"/>
      <c r="S108" s="308"/>
      <c r="T108" s="326"/>
      <c r="U108" s="326"/>
      <c r="V108" s="324">
        <f t="shared" si="23"/>
        <v>0</v>
      </c>
      <c r="W108" s="325"/>
    </row>
    <row r="109" spans="1:23" ht="15" customHeight="1" thickBot="1" x14ac:dyDescent="0.35">
      <c r="A109" s="455"/>
      <c r="B109" s="456"/>
      <c r="C109" s="456"/>
      <c r="D109" s="456"/>
      <c r="E109" s="456"/>
      <c r="F109" s="457"/>
      <c r="G109" s="351"/>
      <c r="H109" s="331"/>
      <c r="I109" s="331"/>
      <c r="J109" s="185"/>
      <c r="K109" s="172"/>
      <c r="L109" s="315" t="s">
        <v>117</v>
      </c>
      <c r="M109" s="316"/>
      <c r="N109" s="316"/>
      <c r="O109" s="319" t="s">
        <v>407</v>
      </c>
      <c r="P109" s="320"/>
      <c r="Q109" s="308" t="s">
        <v>144</v>
      </c>
      <c r="R109" s="308"/>
      <c r="S109" s="308"/>
      <c r="T109" s="327" t="s">
        <v>390</v>
      </c>
      <c r="U109" s="327"/>
      <c r="V109" s="324">
        <f t="shared" si="23"/>
        <v>0</v>
      </c>
      <c r="W109" s="325"/>
    </row>
    <row r="110" spans="1:23" ht="15" customHeight="1" x14ac:dyDescent="0.3">
      <c r="A110" s="455"/>
      <c r="B110" s="456"/>
      <c r="C110" s="456"/>
      <c r="D110" s="456"/>
      <c r="E110" s="456"/>
      <c r="F110" s="457"/>
      <c r="G110" s="351"/>
      <c r="H110" s="330">
        <f>HLOOKUP(L110,Table_Culture_Ranks,VLOOKUP(Culture,Table_Culture,2,FALSE)+1,FALSE)</f>
        <v>0</v>
      </c>
      <c r="I110" s="330">
        <f>H110-SUM(J110:J117)</f>
        <v>0</v>
      </c>
      <c r="J110" s="184"/>
      <c r="K110" s="144"/>
      <c r="L110" s="307" t="s">
        <v>302</v>
      </c>
      <c r="M110" s="308"/>
      <c r="N110" s="308"/>
      <c r="O110" s="317" t="s">
        <v>415</v>
      </c>
      <c r="P110" s="318"/>
      <c r="Q110" s="308" t="s">
        <v>147</v>
      </c>
      <c r="R110" s="308"/>
      <c r="S110" s="308"/>
      <c r="T110" s="326"/>
      <c r="U110" s="326"/>
      <c r="V110" s="324">
        <f t="shared" si="23"/>
        <v>0</v>
      </c>
      <c r="W110" s="325"/>
    </row>
    <row r="111" spans="1:23" ht="15" customHeight="1" x14ac:dyDescent="0.3">
      <c r="A111" s="455"/>
      <c r="B111" s="456"/>
      <c r="C111" s="456"/>
      <c r="D111" s="456"/>
      <c r="E111" s="456"/>
      <c r="F111" s="457"/>
      <c r="G111" s="351"/>
      <c r="H111" s="330"/>
      <c r="I111" s="330"/>
      <c r="J111" s="184"/>
      <c r="K111" s="144"/>
      <c r="L111" s="307" t="s">
        <v>302</v>
      </c>
      <c r="M111" s="308"/>
      <c r="N111" s="308"/>
      <c r="O111" s="317" t="s">
        <v>416</v>
      </c>
      <c r="P111" s="318"/>
      <c r="Q111" s="308" t="s">
        <v>149</v>
      </c>
      <c r="R111" s="308"/>
      <c r="S111" s="308"/>
      <c r="T111" s="326"/>
      <c r="U111" s="326"/>
      <c r="V111" s="324">
        <f t="shared" si="23"/>
        <v>0</v>
      </c>
      <c r="W111" s="325"/>
    </row>
    <row r="112" spans="1:23" ht="15" customHeight="1" x14ac:dyDescent="0.3">
      <c r="A112" s="455"/>
      <c r="B112" s="456"/>
      <c r="C112" s="456"/>
      <c r="D112" s="456"/>
      <c r="E112" s="456"/>
      <c r="F112" s="457"/>
      <c r="G112" s="351"/>
      <c r="H112" s="330"/>
      <c r="I112" s="330"/>
      <c r="J112" s="184"/>
      <c r="K112" s="144"/>
      <c r="L112" s="307" t="s">
        <v>302</v>
      </c>
      <c r="M112" s="308"/>
      <c r="N112" s="308"/>
      <c r="O112" s="317" t="s">
        <v>417</v>
      </c>
      <c r="P112" s="318"/>
      <c r="Q112" s="308" t="s">
        <v>158</v>
      </c>
      <c r="R112" s="308"/>
      <c r="S112" s="308"/>
      <c r="T112" s="326"/>
      <c r="U112" s="326"/>
      <c r="V112" s="324">
        <f t="shared" si="23"/>
        <v>0</v>
      </c>
      <c r="W112" s="325"/>
    </row>
    <row r="113" spans="1:23" ht="15" customHeight="1" x14ac:dyDescent="0.3">
      <c r="A113" s="455"/>
      <c r="B113" s="456"/>
      <c r="C113" s="456"/>
      <c r="D113" s="456"/>
      <c r="E113" s="456"/>
      <c r="F113" s="457"/>
      <c r="G113" s="351"/>
      <c r="H113" s="330"/>
      <c r="I113" s="330"/>
      <c r="J113" s="184"/>
      <c r="K113" s="144"/>
      <c r="L113" s="307" t="s">
        <v>302</v>
      </c>
      <c r="M113" s="308"/>
      <c r="N113" s="308"/>
      <c r="O113" s="317" t="s">
        <v>418</v>
      </c>
      <c r="P113" s="318"/>
      <c r="Q113" s="308" t="s">
        <v>169</v>
      </c>
      <c r="R113" s="308"/>
      <c r="S113" s="308"/>
      <c r="T113" s="326"/>
      <c r="U113" s="326"/>
      <c r="V113" s="324">
        <f t="shared" si="23"/>
        <v>0</v>
      </c>
      <c r="W113" s="325"/>
    </row>
    <row r="114" spans="1:23" ht="15" customHeight="1" x14ac:dyDescent="0.3">
      <c r="A114" s="455"/>
      <c r="B114" s="456"/>
      <c r="C114" s="456"/>
      <c r="D114" s="456"/>
      <c r="E114" s="456"/>
      <c r="F114" s="457"/>
      <c r="G114" s="351"/>
      <c r="H114" s="330"/>
      <c r="I114" s="330"/>
      <c r="J114" s="184"/>
      <c r="K114" s="144"/>
      <c r="L114" s="307" t="s">
        <v>302</v>
      </c>
      <c r="M114" s="308"/>
      <c r="N114" s="308"/>
      <c r="O114" s="317" t="s">
        <v>419</v>
      </c>
      <c r="P114" s="318"/>
      <c r="Q114" s="308" t="s">
        <v>170</v>
      </c>
      <c r="R114" s="308"/>
      <c r="S114" s="308"/>
      <c r="T114" s="326"/>
      <c r="U114" s="326"/>
      <c r="V114" s="324">
        <f t="shared" si="23"/>
        <v>0</v>
      </c>
      <c r="W114" s="325"/>
    </row>
    <row r="115" spans="1:23" ht="15" customHeight="1" x14ac:dyDescent="0.3">
      <c r="A115" s="455"/>
      <c r="B115" s="456"/>
      <c r="C115" s="456"/>
      <c r="D115" s="456"/>
      <c r="E115" s="456"/>
      <c r="F115" s="457"/>
      <c r="G115" s="351"/>
      <c r="H115" s="330"/>
      <c r="I115" s="330"/>
      <c r="J115" s="184"/>
      <c r="K115" s="144"/>
      <c r="L115" s="307" t="s">
        <v>302</v>
      </c>
      <c r="M115" s="308"/>
      <c r="N115" s="308"/>
      <c r="O115" s="317" t="s">
        <v>420</v>
      </c>
      <c r="P115" s="318"/>
      <c r="Q115" s="308" t="s">
        <v>171</v>
      </c>
      <c r="R115" s="308"/>
      <c r="S115" s="308"/>
      <c r="T115" s="326"/>
      <c r="U115" s="326"/>
      <c r="V115" s="324">
        <f t="shared" ref="V115:V116" si="25">HLOOKUP(Q115,Table_Culture_Ranks,VLOOKUP(Culture,Table_Culture,2,FALSE)+1,FALSE)</f>
        <v>0</v>
      </c>
      <c r="W115" s="325"/>
    </row>
    <row r="116" spans="1:23" ht="15" customHeight="1" x14ac:dyDescent="0.3">
      <c r="A116" s="455"/>
      <c r="B116" s="456"/>
      <c r="C116" s="456"/>
      <c r="D116" s="456"/>
      <c r="E116" s="456"/>
      <c r="F116" s="457"/>
      <c r="G116" s="351"/>
      <c r="H116" s="330"/>
      <c r="I116" s="330"/>
      <c r="J116" s="184"/>
      <c r="K116" s="144"/>
      <c r="L116" s="307" t="s">
        <v>302</v>
      </c>
      <c r="M116" s="308"/>
      <c r="N116" s="308"/>
      <c r="O116" s="317" t="s">
        <v>421</v>
      </c>
      <c r="P116" s="318"/>
      <c r="Q116" s="308" t="s">
        <v>174</v>
      </c>
      <c r="R116" s="308"/>
      <c r="S116" s="308"/>
      <c r="T116" s="326"/>
      <c r="U116" s="326"/>
      <c r="V116" s="324">
        <f t="shared" si="25"/>
        <v>0</v>
      </c>
      <c r="W116" s="325"/>
    </row>
    <row r="117" spans="1:23" ht="15" customHeight="1" thickBot="1" x14ac:dyDescent="0.35">
      <c r="A117" s="455"/>
      <c r="B117" s="456"/>
      <c r="C117" s="456"/>
      <c r="D117" s="456"/>
      <c r="E117" s="456"/>
      <c r="F117" s="457"/>
      <c r="G117" s="351"/>
      <c r="H117" s="331"/>
      <c r="I117" s="331"/>
      <c r="J117" s="185"/>
      <c r="K117" s="172"/>
      <c r="L117" s="315" t="s">
        <v>302</v>
      </c>
      <c r="M117" s="316"/>
      <c r="N117" s="316"/>
      <c r="O117" s="319" t="s">
        <v>422</v>
      </c>
      <c r="P117" s="320"/>
      <c r="Q117" s="308" t="s">
        <v>178</v>
      </c>
      <c r="R117" s="308"/>
      <c r="S117" s="308"/>
      <c r="T117" s="326"/>
      <c r="U117" s="326"/>
      <c r="V117" s="324">
        <f t="shared" si="23"/>
        <v>0</v>
      </c>
      <c r="W117" s="325"/>
    </row>
    <row r="118" spans="1:23" ht="15" customHeight="1" x14ac:dyDescent="0.3">
      <c r="A118" s="455"/>
      <c r="B118" s="456"/>
      <c r="C118" s="456"/>
      <c r="D118" s="456"/>
      <c r="E118" s="456"/>
      <c r="F118" s="457"/>
      <c r="G118" s="351"/>
      <c r="H118" s="330">
        <f>HLOOKUP(L118,Table_Culture_Ranks,VLOOKUP(Culture,Table_Culture,2,FALSE)+1,FALSE)</f>
        <v>0</v>
      </c>
      <c r="I118" s="330">
        <f>H118-SUM(J118:J122)</f>
        <v>0</v>
      </c>
      <c r="J118" s="184"/>
      <c r="K118" s="144"/>
      <c r="L118" s="307" t="s">
        <v>303</v>
      </c>
      <c r="M118" s="308"/>
      <c r="N118" s="308"/>
      <c r="O118" s="317" t="s">
        <v>423</v>
      </c>
      <c r="P118" s="318"/>
      <c r="Q118" s="308" t="s">
        <v>179</v>
      </c>
      <c r="R118" s="308"/>
      <c r="S118" s="308"/>
      <c r="T118" s="326"/>
      <c r="U118" s="326"/>
      <c r="V118" s="324">
        <f t="shared" ref="V118" si="26">HLOOKUP(Q118,Table_Culture_Ranks,VLOOKUP(Culture,Table_Culture,2,FALSE)+1,FALSE)</f>
        <v>0</v>
      </c>
      <c r="W118" s="325"/>
    </row>
    <row r="119" spans="1:23" ht="15" customHeight="1" x14ac:dyDescent="0.3">
      <c r="A119" s="455"/>
      <c r="B119" s="456"/>
      <c r="C119" s="456"/>
      <c r="D119" s="456"/>
      <c r="E119" s="456"/>
      <c r="F119" s="457"/>
      <c r="G119" s="351"/>
      <c r="H119" s="330"/>
      <c r="I119" s="330"/>
      <c r="J119" s="184"/>
      <c r="K119" s="144"/>
      <c r="L119" s="307" t="s">
        <v>303</v>
      </c>
      <c r="M119" s="308"/>
      <c r="N119" s="308"/>
      <c r="O119" s="317" t="s">
        <v>424</v>
      </c>
      <c r="P119" s="318"/>
      <c r="Q119" s="308" t="s">
        <v>180</v>
      </c>
      <c r="R119" s="308"/>
      <c r="S119" s="308"/>
      <c r="T119" s="326"/>
      <c r="U119" s="326"/>
      <c r="V119" s="324">
        <f t="shared" si="23"/>
        <v>0</v>
      </c>
      <c r="W119" s="325"/>
    </row>
    <row r="120" spans="1:23" ht="15" customHeight="1" x14ac:dyDescent="0.3">
      <c r="A120" s="455"/>
      <c r="B120" s="456"/>
      <c r="C120" s="456"/>
      <c r="D120" s="456"/>
      <c r="E120" s="456"/>
      <c r="F120" s="457"/>
      <c r="G120" s="351"/>
      <c r="H120" s="330"/>
      <c r="I120" s="330"/>
      <c r="J120" s="184"/>
      <c r="K120" s="144"/>
      <c r="L120" s="307" t="s">
        <v>303</v>
      </c>
      <c r="M120" s="308"/>
      <c r="N120" s="308"/>
      <c r="O120" s="317" t="s">
        <v>425</v>
      </c>
      <c r="P120" s="318"/>
      <c r="Q120" s="308" t="s">
        <v>157</v>
      </c>
      <c r="R120" s="308"/>
      <c r="S120" s="308"/>
      <c r="T120" s="327" t="s">
        <v>390</v>
      </c>
      <c r="U120" s="327"/>
      <c r="V120" s="324">
        <f>HLOOKUP("Region (Own)",Table_Culture_Ranks,VLOOKUP(Culture,Table_Culture,2,FALSE)+1,FALSE)</f>
        <v>0</v>
      </c>
      <c r="W120" s="325"/>
    </row>
    <row r="121" spans="1:23" ht="15" customHeight="1" x14ac:dyDescent="0.3">
      <c r="A121" s="455"/>
      <c r="B121" s="456"/>
      <c r="C121" s="456"/>
      <c r="D121" s="456"/>
      <c r="E121" s="456"/>
      <c r="F121" s="457"/>
      <c r="G121" s="351"/>
      <c r="H121" s="330"/>
      <c r="I121" s="330"/>
      <c r="J121" s="184"/>
      <c r="K121" s="144"/>
      <c r="L121" s="307" t="s">
        <v>303</v>
      </c>
      <c r="M121" s="308"/>
      <c r="N121" s="308"/>
      <c r="O121" s="317" t="s">
        <v>426</v>
      </c>
      <c r="P121" s="318"/>
      <c r="Q121" s="308" t="s">
        <v>157</v>
      </c>
      <c r="R121" s="308"/>
      <c r="S121" s="308"/>
      <c r="T121" s="327" t="s">
        <v>777</v>
      </c>
      <c r="U121" s="327"/>
      <c r="V121" s="324">
        <f>HLOOKUP("Region (Neighboring)",Table_Culture_Ranks,VLOOKUP(Culture,Table_Culture,2,FALSE)+1,FALSE)</f>
        <v>0</v>
      </c>
      <c r="W121" s="325"/>
    </row>
    <row r="122" spans="1:23" ht="15" customHeight="1" thickBot="1" x14ac:dyDescent="0.35">
      <c r="A122" s="455"/>
      <c r="B122" s="456"/>
      <c r="C122" s="456"/>
      <c r="D122" s="456"/>
      <c r="E122" s="456"/>
      <c r="F122" s="457"/>
      <c r="G122" s="352"/>
      <c r="H122" s="331"/>
      <c r="I122" s="331"/>
      <c r="J122" s="185"/>
      <c r="K122" s="172"/>
      <c r="L122" s="315" t="s">
        <v>303</v>
      </c>
      <c r="M122" s="316"/>
      <c r="N122" s="316"/>
      <c r="O122" s="319" t="s">
        <v>422</v>
      </c>
      <c r="P122" s="320"/>
      <c r="Q122" s="308" t="s">
        <v>181</v>
      </c>
      <c r="R122" s="308"/>
      <c r="S122" s="308"/>
      <c r="T122" s="326"/>
      <c r="U122" s="326"/>
      <c r="V122" s="324">
        <f>HLOOKUP(Q122,Table_Culture_Ranks,VLOOKUP(Culture,Table_Culture,2,FALSE)+1,FALSE)</f>
        <v>0</v>
      </c>
      <c r="W122" s="325"/>
    </row>
    <row r="123" spans="1:23" ht="15" customHeight="1" x14ac:dyDescent="0.3">
      <c r="A123" s="455"/>
      <c r="B123" s="456"/>
      <c r="C123" s="456"/>
      <c r="D123" s="456"/>
      <c r="E123" s="456"/>
      <c r="F123" s="457"/>
      <c r="G123" s="350" t="s">
        <v>306</v>
      </c>
      <c r="H123" s="329">
        <f>HLOOKUP("Languages",Table_Culture_Ranks,VLOOKUP(Culture,Table_Culture,2,FALSE)+1,FALSE)</f>
        <v>0</v>
      </c>
      <c r="I123" s="329">
        <f>H123-SUM(J123:J132)</f>
        <v>0</v>
      </c>
      <c r="J123" s="186"/>
      <c r="K123" s="179"/>
      <c r="L123" s="339" t="s">
        <v>758</v>
      </c>
      <c r="M123" s="340"/>
      <c r="N123" s="340"/>
      <c r="O123" s="358" t="s">
        <v>760</v>
      </c>
      <c r="P123" s="359"/>
      <c r="Q123" s="308" t="s">
        <v>207</v>
      </c>
      <c r="R123" s="308"/>
      <c r="S123" s="308"/>
      <c r="T123" s="326"/>
      <c r="U123" s="326"/>
      <c r="V123" s="324">
        <f>HLOOKUP(Q123,Table_Culture_Ranks,VLOOKUP(Culture,Table_Culture,2,FALSE)+1,FALSE)</f>
        <v>0</v>
      </c>
      <c r="W123" s="325"/>
    </row>
    <row r="124" spans="1:23" ht="15" customHeight="1" x14ac:dyDescent="0.3">
      <c r="A124" s="455"/>
      <c r="B124" s="456"/>
      <c r="C124" s="456"/>
      <c r="D124" s="456"/>
      <c r="E124" s="456"/>
      <c r="F124" s="457"/>
      <c r="G124" s="351"/>
      <c r="H124" s="330"/>
      <c r="I124" s="330"/>
      <c r="J124" s="184"/>
      <c r="K124" s="144"/>
      <c r="L124" s="307" t="s">
        <v>759</v>
      </c>
      <c r="M124" s="308"/>
      <c r="N124" s="308"/>
      <c r="O124" s="360"/>
      <c r="P124" s="361"/>
      <c r="Q124" s="308" t="s">
        <v>208</v>
      </c>
      <c r="R124" s="308"/>
      <c r="S124" s="308"/>
      <c r="T124" s="326"/>
      <c r="U124" s="326"/>
      <c r="V124" s="324">
        <f>HLOOKUP(Q124,Table_Culture_Ranks,VLOOKUP(Culture,Table_Culture,2,FALSE)+1,FALSE)</f>
        <v>0</v>
      </c>
      <c r="W124" s="325"/>
    </row>
    <row r="125" spans="1:23" ht="15" customHeight="1" x14ac:dyDescent="0.3">
      <c r="A125" s="455"/>
      <c r="B125" s="456"/>
      <c r="C125" s="456"/>
      <c r="D125" s="456"/>
      <c r="E125" s="456"/>
      <c r="F125" s="457"/>
      <c r="G125" s="351"/>
      <c r="H125" s="330"/>
      <c r="I125" s="330"/>
      <c r="J125" s="184"/>
      <c r="K125" s="144"/>
      <c r="L125" s="307" t="s">
        <v>758</v>
      </c>
      <c r="M125" s="308"/>
      <c r="N125" s="308"/>
      <c r="O125" s="360" t="s">
        <v>761</v>
      </c>
      <c r="P125" s="361"/>
      <c r="Q125" s="308" t="s">
        <v>214</v>
      </c>
      <c r="R125" s="308"/>
      <c r="S125" s="308"/>
      <c r="T125" s="326"/>
      <c r="U125" s="326"/>
      <c r="V125" s="324">
        <f>HLOOKUP(Q125,Table_Culture_Ranks,VLOOKUP(Culture,Table_Culture,2,FALSE)+1,FALSE)</f>
        <v>0</v>
      </c>
      <c r="W125" s="325"/>
    </row>
    <row r="126" spans="1:23" ht="15" customHeight="1" thickBot="1" x14ac:dyDescent="0.35">
      <c r="A126" s="455"/>
      <c r="B126" s="456"/>
      <c r="C126" s="456"/>
      <c r="D126" s="456"/>
      <c r="E126" s="456"/>
      <c r="F126" s="457"/>
      <c r="G126" s="351"/>
      <c r="H126" s="330"/>
      <c r="I126" s="330"/>
      <c r="J126" s="184"/>
      <c r="K126" s="144"/>
      <c r="L126" s="307" t="s">
        <v>759</v>
      </c>
      <c r="M126" s="308"/>
      <c r="N126" s="308"/>
      <c r="O126" s="360"/>
      <c r="P126" s="361"/>
      <c r="Q126" s="313" t="s">
        <v>215</v>
      </c>
      <c r="R126" s="313"/>
      <c r="S126" s="313"/>
      <c r="T126" s="328"/>
      <c r="U126" s="328"/>
      <c r="V126" s="365">
        <f>HLOOKUP(Q126,Table_Culture_Ranks,VLOOKUP(Culture,Table_Culture,2,FALSE)+1,FALSE)</f>
        <v>0</v>
      </c>
      <c r="W126" s="366"/>
    </row>
    <row r="127" spans="1:23" ht="15" customHeight="1" x14ac:dyDescent="0.3">
      <c r="A127" s="455"/>
      <c r="B127" s="456"/>
      <c r="C127" s="456"/>
      <c r="D127" s="456"/>
      <c r="E127" s="456"/>
      <c r="F127" s="457"/>
      <c r="G127" s="351"/>
      <c r="H127" s="330"/>
      <c r="I127" s="330"/>
      <c r="J127" s="184"/>
      <c r="K127" s="144"/>
      <c r="L127" s="307" t="s">
        <v>758</v>
      </c>
      <c r="M127" s="308"/>
      <c r="N127" s="308"/>
      <c r="O127" s="360" t="s">
        <v>762</v>
      </c>
      <c r="P127" s="361"/>
    </row>
    <row r="128" spans="1:23" ht="15" customHeight="1" x14ac:dyDescent="0.3">
      <c r="A128" s="455"/>
      <c r="B128" s="456"/>
      <c r="C128" s="456"/>
      <c r="D128" s="456"/>
      <c r="E128" s="456"/>
      <c r="F128" s="457"/>
      <c r="G128" s="351"/>
      <c r="H128" s="330"/>
      <c r="I128" s="330"/>
      <c r="J128" s="184"/>
      <c r="K128" s="144"/>
      <c r="L128" s="307" t="s">
        <v>759</v>
      </c>
      <c r="M128" s="308"/>
      <c r="N128" s="308"/>
      <c r="O128" s="360"/>
      <c r="P128" s="361"/>
    </row>
    <row r="129" spans="1:16" ht="15" customHeight="1" x14ac:dyDescent="0.3">
      <c r="A129" s="455"/>
      <c r="B129" s="456"/>
      <c r="C129" s="456"/>
      <c r="D129" s="456"/>
      <c r="E129" s="456"/>
      <c r="F129" s="457"/>
      <c r="G129" s="351"/>
      <c r="H129" s="330"/>
      <c r="I129" s="330"/>
      <c r="J129" s="184"/>
      <c r="K129" s="144"/>
      <c r="L129" s="307" t="s">
        <v>758</v>
      </c>
      <c r="M129" s="308"/>
      <c r="N129" s="308"/>
      <c r="O129" s="360" t="s">
        <v>763</v>
      </c>
      <c r="P129" s="361"/>
    </row>
    <row r="130" spans="1:16" ht="15" customHeight="1" x14ac:dyDescent="0.3">
      <c r="A130" s="455"/>
      <c r="B130" s="456"/>
      <c r="C130" s="456"/>
      <c r="D130" s="456"/>
      <c r="E130" s="456"/>
      <c r="F130" s="457"/>
      <c r="G130" s="351"/>
      <c r="H130" s="330"/>
      <c r="I130" s="330"/>
      <c r="J130" s="184"/>
      <c r="K130" s="144"/>
      <c r="L130" s="307" t="s">
        <v>759</v>
      </c>
      <c r="M130" s="308"/>
      <c r="N130" s="308"/>
      <c r="O130" s="360"/>
      <c r="P130" s="361"/>
    </row>
    <row r="131" spans="1:16" ht="15" customHeight="1" x14ac:dyDescent="0.3">
      <c r="A131" s="455"/>
      <c r="B131" s="456"/>
      <c r="C131" s="456"/>
      <c r="D131" s="456"/>
      <c r="E131" s="456"/>
      <c r="F131" s="457"/>
      <c r="G131" s="351"/>
      <c r="H131" s="330"/>
      <c r="I131" s="330"/>
      <c r="J131" s="184"/>
      <c r="K131" s="144"/>
      <c r="L131" s="307" t="s">
        <v>758</v>
      </c>
      <c r="M131" s="308"/>
      <c r="N131" s="308"/>
      <c r="O131" s="360" t="s">
        <v>764</v>
      </c>
      <c r="P131" s="361"/>
    </row>
    <row r="132" spans="1:16" ht="15" customHeight="1" thickBot="1" x14ac:dyDescent="0.35">
      <c r="A132" s="455"/>
      <c r="B132" s="456"/>
      <c r="C132" s="456"/>
      <c r="D132" s="456"/>
      <c r="E132" s="456"/>
      <c r="F132" s="457"/>
      <c r="G132" s="352"/>
      <c r="H132" s="331"/>
      <c r="I132" s="331"/>
      <c r="J132" s="185"/>
      <c r="K132" s="172"/>
      <c r="L132" s="315" t="s">
        <v>759</v>
      </c>
      <c r="M132" s="316"/>
      <c r="N132" s="316"/>
      <c r="O132" s="362"/>
      <c r="P132" s="363"/>
    </row>
    <row r="133" spans="1:16" ht="15" customHeight="1" x14ac:dyDescent="0.3">
      <c r="A133" s="455"/>
      <c r="B133" s="456"/>
      <c r="C133" s="456"/>
      <c r="D133" s="456"/>
      <c r="E133" s="456"/>
      <c r="F133" s="457"/>
      <c r="G133" s="350" t="s">
        <v>152</v>
      </c>
      <c r="H133" s="329">
        <f>HLOOKUP("Other Lores",Table_Culture_Ranks,VLOOKUP(Culture,Table_Culture,2,FALSE)+1,FALSE)</f>
        <v>0</v>
      </c>
      <c r="I133" s="329">
        <f>H133-SUM(J133:J141)</f>
        <v>0</v>
      </c>
      <c r="J133" s="186"/>
      <c r="K133" s="179"/>
      <c r="L133" s="339" t="s">
        <v>153</v>
      </c>
      <c r="M133" s="340"/>
      <c r="N133" s="340"/>
      <c r="O133" s="342"/>
      <c r="P133" s="343"/>
    </row>
    <row r="134" spans="1:16" ht="15" customHeight="1" x14ac:dyDescent="0.3">
      <c r="A134" s="455"/>
      <c r="B134" s="456"/>
      <c r="C134" s="456"/>
      <c r="D134" s="456"/>
      <c r="E134" s="456"/>
      <c r="F134" s="457"/>
      <c r="G134" s="351"/>
      <c r="H134" s="330"/>
      <c r="I134" s="330"/>
      <c r="J134" s="184"/>
      <c r="K134" s="144"/>
      <c r="L134" s="307" t="s">
        <v>154</v>
      </c>
      <c r="M134" s="308"/>
      <c r="N134" s="308"/>
      <c r="O134" s="344"/>
      <c r="P134" s="345"/>
    </row>
    <row r="135" spans="1:16" ht="15" customHeight="1" x14ac:dyDescent="0.3">
      <c r="A135" s="455"/>
      <c r="B135" s="456"/>
      <c r="C135" s="456"/>
      <c r="D135" s="456"/>
      <c r="E135" s="456"/>
      <c r="F135" s="457"/>
      <c r="G135" s="351"/>
      <c r="H135" s="330"/>
      <c r="I135" s="330"/>
      <c r="J135" s="184"/>
      <c r="K135" s="144"/>
      <c r="L135" s="307" t="s">
        <v>155</v>
      </c>
      <c r="M135" s="308"/>
      <c r="N135" s="308"/>
      <c r="O135" s="344"/>
      <c r="P135" s="345"/>
    </row>
    <row r="136" spans="1:16" ht="15" customHeight="1" x14ac:dyDescent="0.3">
      <c r="A136" s="455"/>
      <c r="B136" s="456"/>
      <c r="C136" s="456"/>
      <c r="D136" s="456"/>
      <c r="E136" s="456"/>
      <c r="F136" s="457"/>
      <c r="G136" s="351"/>
      <c r="H136" s="330"/>
      <c r="I136" s="330"/>
      <c r="J136" s="184"/>
      <c r="K136" s="144"/>
      <c r="L136" s="307" t="s">
        <v>156</v>
      </c>
      <c r="M136" s="308"/>
      <c r="N136" s="308"/>
      <c r="O136" s="317" t="s">
        <v>768</v>
      </c>
      <c r="P136" s="318"/>
    </row>
    <row r="137" spans="1:16" ht="15" customHeight="1" x14ac:dyDescent="0.3">
      <c r="A137" s="455"/>
      <c r="B137" s="456"/>
      <c r="C137" s="456"/>
      <c r="D137" s="456"/>
      <c r="E137" s="456"/>
      <c r="F137" s="457"/>
      <c r="G137" s="351"/>
      <c r="H137" s="330"/>
      <c r="I137" s="330"/>
      <c r="J137" s="184"/>
      <c r="K137" s="144"/>
      <c r="L137" s="307" t="s">
        <v>156</v>
      </c>
      <c r="M137" s="308"/>
      <c r="N137" s="308"/>
      <c r="O137" s="317" t="s">
        <v>769</v>
      </c>
      <c r="P137" s="318"/>
    </row>
    <row r="138" spans="1:16" ht="15" customHeight="1" x14ac:dyDescent="0.3">
      <c r="A138" s="455"/>
      <c r="B138" s="456"/>
      <c r="C138" s="456"/>
      <c r="D138" s="456"/>
      <c r="E138" s="456"/>
      <c r="F138" s="457"/>
      <c r="G138" s="351"/>
      <c r="H138" s="330"/>
      <c r="I138" s="330"/>
      <c r="J138" s="184"/>
      <c r="K138" s="144"/>
      <c r="L138" s="307" t="s">
        <v>156</v>
      </c>
      <c r="M138" s="308"/>
      <c r="N138" s="308"/>
      <c r="O138" s="317" t="s">
        <v>770</v>
      </c>
      <c r="P138" s="318"/>
    </row>
    <row r="139" spans="1:16" ht="15" customHeight="1" x14ac:dyDescent="0.3">
      <c r="A139" s="455"/>
      <c r="B139" s="456"/>
      <c r="C139" s="456"/>
      <c r="D139" s="456"/>
      <c r="E139" s="456"/>
      <c r="F139" s="457"/>
      <c r="G139" s="351"/>
      <c r="H139" s="330"/>
      <c r="I139" s="330"/>
      <c r="J139" s="184"/>
      <c r="K139" s="144"/>
      <c r="L139" s="307" t="s">
        <v>159</v>
      </c>
      <c r="M139" s="308"/>
      <c r="N139" s="308"/>
      <c r="O139" s="317" t="s">
        <v>771</v>
      </c>
      <c r="P139" s="318"/>
    </row>
    <row r="140" spans="1:16" ht="15" customHeight="1" x14ac:dyDescent="0.3">
      <c r="A140" s="455"/>
      <c r="B140" s="456"/>
      <c r="C140" s="456"/>
      <c r="D140" s="456"/>
      <c r="E140" s="456"/>
      <c r="F140" s="457"/>
      <c r="G140" s="351"/>
      <c r="H140" s="330"/>
      <c r="I140" s="330"/>
      <c r="J140" s="184"/>
      <c r="K140" s="144"/>
      <c r="L140" s="307" t="s">
        <v>159</v>
      </c>
      <c r="M140" s="308"/>
      <c r="N140" s="308"/>
      <c r="O140" s="317" t="s">
        <v>772</v>
      </c>
      <c r="P140" s="318"/>
    </row>
    <row r="141" spans="1:16" ht="15" customHeight="1" thickBot="1" x14ac:dyDescent="0.35">
      <c r="A141" s="455"/>
      <c r="B141" s="456"/>
      <c r="C141" s="456"/>
      <c r="D141" s="456"/>
      <c r="E141" s="456"/>
      <c r="F141" s="457"/>
      <c r="G141" s="352"/>
      <c r="H141" s="331"/>
      <c r="I141" s="331"/>
      <c r="J141" s="185"/>
      <c r="K141" s="172"/>
      <c r="L141" s="315" t="s">
        <v>159</v>
      </c>
      <c r="M141" s="316"/>
      <c r="N141" s="316"/>
      <c r="O141" s="319" t="s">
        <v>773</v>
      </c>
      <c r="P141" s="320"/>
    </row>
    <row r="142" spans="1:16" ht="15" customHeight="1" x14ac:dyDescent="0.3">
      <c r="A142" s="455"/>
      <c r="B142" s="456"/>
      <c r="C142" s="456"/>
      <c r="D142" s="456"/>
      <c r="E142" s="456"/>
      <c r="F142" s="457"/>
      <c r="G142" s="355" t="s">
        <v>203</v>
      </c>
      <c r="H142" s="329">
        <f>HLOOKUP(L142,Table_Culture_Ranks,VLOOKUP(Culture,Table_Culture,2,FALSE)+1,FALSE)</f>
        <v>0</v>
      </c>
      <c r="I142" s="329">
        <f>H142-SUM(J142:J144)</f>
        <v>0</v>
      </c>
      <c r="J142" s="186"/>
      <c r="K142" s="179"/>
      <c r="L142" s="339" t="s">
        <v>204</v>
      </c>
      <c r="M142" s="340"/>
      <c r="N142" s="340"/>
      <c r="O142" s="353" t="s">
        <v>205</v>
      </c>
      <c r="P142" s="354"/>
    </row>
    <row r="143" spans="1:16" ht="15" customHeight="1" x14ac:dyDescent="0.3">
      <c r="A143" s="455"/>
      <c r="B143" s="456"/>
      <c r="C143" s="456"/>
      <c r="D143" s="456"/>
      <c r="E143" s="456"/>
      <c r="F143" s="457"/>
      <c r="G143" s="356"/>
      <c r="H143" s="330"/>
      <c r="I143" s="330"/>
      <c r="J143" s="184"/>
      <c r="K143" s="144"/>
      <c r="L143" s="307" t="s">
        <v>204</v>
      </c>
      <c r="M143" s="308"/>
      <c r="N143" s="308"/>
      <c r="O143" s="317" t="s">
        <v>209</v>
      </c>
      <c r="P143" s="318"/>
    </row>
    <row r="144" spans="1:16" ht="15" customHeight="1" thickBot="1" x14ac:dyDescent="0.35">
      <c r="A144" s="455"/>
      <c r="B144" s="456"/>
      <c r="C144" s="456"/>
      <c r="D144" s="456"/>
      <c r="E144" s="456"/>
      <c r="F144" s="457"/>
      <c r="G144" s="357"/>
      <c r="H144" s="331"/>
      <c r="I144" s="331"/>
      <c r="J144" s="185"/>
      <c r="K144" s="172"/>
      <c r="L144" s="315" t="s">
        <v>204</v>
      </c>
      <c r="M144" s="316"/>
      <c r="N144" s="316"/>
      <c r="O144" s="319" t="s">
        <v>210</v>
      </c>
      <c r="P144" s="320"/>
    </row>
    <row r="145" spans="1:16" ht="15" customHeight="1" x14ac:dyDescent="0.3">
      <c r="A145" s="455"/>
      <c r="B145" s="456"/>
      <c r="C145" s="456"/>
      <c r="D145" s="456"/>
      <c r="E145" s="456"/>
      <c r="F145" s="457"/>
      <c r="G145" s="332" t="s">
        <v>765</v>
      </c>
      <c r="H145" s="329">
        <f>HLOOKUP("Social Awareness",Table_Culture_Ranks,VLOOKUP(Culture,Table_Culture,2,FALSE)+1,FALSE)</f>
        <v>0</v>
      </c>
      <c r="I145" s="329">
        <f>H145-SUM(J145:J152)</f>
        <v>0</v>
      </c>
      <c r="J145" s="186"/>
      <c r="K145" s="179"/>
      <c r="L145" s="339" t="s">
        <v>122</v>
      </c>
      <c r="M145" s="340"/>
      <c r="N145" s="340"/>
      <c r="O145" s="342"/>
      <c r="P145" s="343"/>
    </row>
    <row r="146" spans="1:16" ht="15" customHeight="1" x14ac:dyDescent="0.3">
      <c r="A146" s="455"/>
      <c r="B146" s="456"/>
      <c r="C146" s="456"/>
      <c r="D146" s="456"/>
      <c r="E146" s="456"/>
      <c r="F146" s="457"/>
      <c r="G146" s="333"/>
      <c r="H146" s="330"/>
      <c r="I146" s="330"/>
      <c r="J146" s="184"/>
      <c r="K146" s="144"/>
      <c r="L146" s="307" t="s">
        <v>123</v>
      </c>
      <c r="M146" s="308"/>
      <c r="N146" s="308"/>
      <c r="O146" s="344"/>
      <c r="P146" s="345"/>
    </row>
    <row r="147" spans="1:16" ht="15" customHeight="1" x14ac:dyDescent="0.3">
      <c r="A147" s="455"/>
      <c r="B147" s="456"/>
      <c r="C147" s="456"/>
      <c r="D147" s="456"/>
      <c r="E147" s="456"/>
      <c r="F147" s="457"/>
      <c r="G147" s="333"/>
      <c r="H147" s="330"/>
      <c r="I147" s="330"/>
      <c r="J147" s="184"/>
      <c r="K147" s="144"/>
      <c r="L147" s="307" t="s">
        <v>124</v>
      </c>
      <c r="M147" s="308"/>
      <c r="N147" s="308"/>
      <c r="O147" s="344"/>
      <c r="P147" s="345"/>
    </row>
    <row r="148" spans="1:16" ht="15" customHeight="1" x14ac:dyDescent="0.3">
      <c r="A148" s="455"/>
      <c r="B148" s="456"/>
      <c r="C148" s="456"/>
      <c r="D148" s="456"/>
      <c r="E148" s="456"/>
      <c r="F148" s="457"/>
      <c r="G148" s="333"/>
      <c r="H148" s="330"/>
      <c r="I148" s="330"/>
      <c r="J148" s="184"/>
      <c r="K148" s="144"/>
      <c r="L148" s="307" t="s">
        <v>184</v>
      </c>
      <c r="M148" s="308"/>
      <c r="N148" s="308"/>
      <c r="O148" s="344"/>
      <c r="P148" s="345"/>
    </row>
    <row r="149" spans="1:16" ht="15" customHeight="1" x14ac:dyDescent="0.3">
      <c r="A149" s="455"/>
      <c r="B149" s="456"/>
      <c r="C149" s="456"/>
      <c r="D149" s="456"/>
      <c r="E149" s="456"/>
      <c r="F149" s="457"/>
      <c r="G149" s="333"/>
      <c r="H149" s="330"/>
      <c r="I149" s="330"/>
      <c r="J149" s="184"/>
      <c r="K149" s="144"/>
      <c r="L149" s="307" t="s">
        <v>185</v>
      </c>
      <c r="M149" s="308"/>
      <c r="N149" s="308"/>
      <c r="O149" s="317" t="s">
        <v>766</v>
      </c>
      <c r="P149" s="318"/>
    </row>
    <row r="150" spans="1:16" ht="15" customHeight="1" x14ac:dyDescent="0.3">
      <c r="A150" s="455"/>
      <c r="B150" s="456"/>
      <c r="C150" s="456"/>
      <c r="D150" s="456"/>
      <c r="E150" s="456"/>
      <c r="F150" s="457"/>
      <c r="G150" s="333"/>
      <c r="H150" s="330"/>
      <c r="I150" s="330"/>
      <c r="J150" s="184"/>
      <c r="K150" s="144"/>
      <c r="L150" s="307" t="s">
        <v>185</v>
      </c>
      <c r="M150" s="308"/>
      <c r="N150" s="308"/>
      <c r="O150" s="317" t="s">
        <v>767</v>
      </c>
      <c r="P150" s="318"/>
    </row>
    <row r="151" spans="1:16" ht="15" customHeight="1" x14ac:dyDescent="0.3">
      <c r="A151" s="455"/>
      <c r="B151" s="456"/>
      <c r="C151" s="456"/>
      <c r="D151" s="456"/>
      <c r="E151" s="456"/>
      <c r="F151" s="457"/>
      <c r="G151" s="333"/>
      <c r="H151" s="330"/>
      <c r="I151" s="330"/>
      <c r="J151" s="184"/>
      <c r="K151" s="144"/>
      <c r="L151" s="307" t="s">
        <v>185</v>
      </c>
      <c r="M151" s="308"/>
      <c r="N151" s="308"/>
      <c r="O151" s="317" t="s">
        <v>774</v>
      </c>
      <c r="P151" s="318"/>
    </row>
    <row r="152" spans="1:16" ht="15" customHeight="1" thickBot="1" x14ac:dyDescent="0.35">
      <c r="A152" s="455"/>
      <c r="B152" s="456"/>
      <c r="C152" s="456"/>
      <c r="D152" s="456"/>
      <c r="E152" s="456"/>
      <c r="F152" s="457"/>
      <c r="G152" s="334"/>
      <c r="H152" s="331"/>
      <c r="I152" s="331"/>
      <c r="J152" s="185"/>
      <c r="K152" s="172"/>
      <c r="L152" s="315" t="s">
        <v>186</v>
      </c>
      <c r="M152" s="316"/>
      <c r="N152" s="316"/>
      <c r="O152" s="348"/>
      <c r="P152" s="349"/>
    </row>
    <row r="153" spans="1:16" ht="15" customHeight="1" x14ac:dyDescent="0.3">
      <c r="A153" s="455"/>
      <c r="B153" s="456"/>
      <c r="C153" s="456"/>
      <c r="D153" s="456"/>
      <c r="E153" s="456"/>
      <c r="F153" s="457"/>
      <c r="G153" s="335" t="s">
        <v>775</v>
      </c>
      <c r="H153" s="329">
        <f>HLOOKUP("Trading",Table_Culture_Ranks,VLOOKUP(Culture,Table_Culture,2,FALSE)+1,FALSE)</f>
        <v>0</v>
      </c>
      <c r="I153" s="329">
        <f>H153-SUM(J153:J162)</f>
        <v>0</v>
      </c>
      <c r="J153" s="186"/>
      <c r="K153" s="179"/>
      <c r="L153" s="339" t="s">
        <v>128</v>
      </c>
      <c r="M153" s="340"/>
      <c r="N153" s="340"/>
      <c r="O153" s="342"/>
      <c r="P153" s="343"/>
    </row>
    <row r="154" spans="1:16" ht="15" customHeight="1" x14ac:dyDescent="0.3">
      <c r="A154" s="455"/>
      <c r="B154" s="456"/>
      <c r="C154" s="456"/>
      <c r="D154" s="456"/>
      <c r="E154" s="456"/>
      <c r="F154" s="457"/>
      <c r="G154" s="336"/>
      <c r="H154" s="330"/>
      <c r="I154" s="330"/>
      <c r="J154" s="184"/>
      <c r="K154" s="144"/>
      <c r="L154" s="307" t="s">
        <v>129</v>
      </c>
      <c r="M154" s="308"/>
      <c r="N154" s="308"/>
      <c r="O154" s="344"/>
      <c r="P154" s="345"/>
    </row>
    <row r="155" spans="1:16" ht="15" customHeight="1" x14ac:dyDescent="0.3">
      <c r="A155" s="455"/>
      <c r="B155" s="456"/>
      <c r="C155" s="456"/>
      <c r="D155" s="456"/>
      <c r="E155" s="456"/>
      <c r="F155" s="457"/>
      <c r="G155" s="336"/>
      <c r="H155" s="330"/>
      <c r="I155" s="330"/>
      <c r="J155" s="184"/>
      <c r="K155" s="144"/>
      <c r="L155" s="307" t="s">
        <v>130</v>
      </c>
      <c r="M155" s="308"/>
      <c r="N155" s="308"/>
      <c r="O155" s="344"/>
      <c r="P155" s="345"/>
    </row>
    <row r="156" spans="1:16" ht="15" customHeight="1" x14ac:dyDescent="0.3">
      <c r="A156" s="455"/>
      <c r="B156" s="456"/>
      <c r="C156" s="456"/>
      <c r="D156" s="456"/>
      <c r="E156" s="456"/>
      <c r="F156" s="457"/>
      <c r="G156" s="336"/>
      <c r="H156" s="330"/>
      <c r="I156" s="330"/>
      <c r="J156" s="184"/>
      <c r="K156" s="144"/>
      <c r="L156" s="307" t="s">
        <v>131</v>
      </c>
      <c r="M156" s="308"/>
      <c r="N156" s="308"/>
      <c r="O156" s="344"/>
      <c r="P156" s="345"/>
    </row>
    <row r="157" spans="1:16" ht="15" customHeight="1" x14ac:dyDescent="0.3">
      <c r="A157" s="455"/>
      <c r="B157" s="456"/>
      <c r="C157" s="456"/>
      <c r="D157" s="456"/>
      <c r="E157" s="456"/>
      <c r="F157" s="457"/>
      <c r="G157" s="336"/>
      <c r="H157" s="330"/>
      <c r="I157" s="330"/>
      <c r="J157" s="184"/>
      <c r="K157" s="144"/>
      <c r="L157" s="307" t="s">
        <v>132</v>
      </c>
      <c r="M157" s="308"/>
      <c r="N157" s="308"/>
      <c r="O157" s="344"/>
      <c r="P157" s="345"/>
    </row>
    <row r="158" spans="1:16" ht="15" customHeight="1" x14ac:dyDescent="0.3">
      <c r="A158" s="455"/>
      <c r="B158" s="456"/>
      <c r="C158" s="456"/>
      <c r="D158" s="456"/>
      <c r="E158" s="456"/>
      <c r="F158" s="457"/>
      <c r="G158" s="336"/>
      <c r="H158" s="330"/>
      <c r="I158" s="330"/>
      <c r="J158" s="184"/>
      <c r="K158" s="144"/>
      <c r="L158" s="307" t="s">
        <v>133</v>
      </c>
      <c r="M158" s="308"/>
      <c r="N158" s="308"/>
      <c r="O158" s="344"/>
      <c r="P158" s="345"/>
    </row>
    <row r="159" spans="1:16" ht="15" customHeight="1" x14ac:dyDescent="0.3">
      <c r="A159" s="455"/>
      <c r="B159" s="456"/>
      <c r="C159" s="456"/>
      <c r="D159" s="456"/>
      <c r="E159" s="456"/>
      <c r="F159" s="457"/>
      <c r="G159" s="336"/>
      <c r="H159" s="330"/>
      <c r="I159" s="330"/>
      <c r="J159" s="184"/>
      <c r="K159" s="144"/>
      <c r="L159" s="307" t="s">
        <v>134</v>
      </c>
      <c r="M159" s="308"/>
      <c r="N159" s="308"/>
      <c r="O159" s="344"/>
      <c r="P159" s="345"/>
    </row>
    <row r="160" spans="1:16" ht="15" customHeight="1" x14ac:dyDescent="0.3">
      <c r="A160" s="455"/>
      <c r="B160" s="456"/>
      <c r="C160" s="456"/>
      <c r="D160" s="456"/>
      <c r="E160" s="456"/>
      <c r="F160" s="457"/>
      <c r="G160" s="336"/>
      <c r="H160" s="330"/>
      <c r="I160" s="330"/>
      <c r="J160" s="184"/>
      <c r="K160" s="144"/>
      <c r="L160" s="307" t="s">
        <v>225</v>
      </c>
      <c r="M160" s="308"/>
      <c r="N160" s="308"/>
      <c r="O160" s="344"/>
      <c r="P160" s="345"/>
    </row>
    <row r="161" spans="1:37" ht="15" customHeight="1" x14ac:dyDescent="0.3">
      <c r="A161" s="455"/>
      <c r="B161" s="456"/>
      <c r="C161" s="456"/>
      <c r="D161" s="456"/>
      <c r="E161" s="456"/>
      <c r="F161" s="457"/>
      <c r="G161" s="336"/>
      <c r="H161" s="330"/>
      <c r="I161" s="330"/>
      <c r="J161" s="184"/>
      <c r="K161" s="144"/>
      <c r="L161" s="307" t="s">
        <v>226</v>
      </c>
      <c r="M161" s="308"/>
      <c r="N161" s="308"/>
      <c r="O161" s="344"/>
      <c r="P161" s="345"/>
    </row>
    <row r="162" spans="1:37" ht="15" customHeight="1" thickBot="1" x14ac:dyDescent="0.35">
      <c r="A162" s="458"/>
      <c r="B162" s="459"/>
      <c r="C162" s="459"/>
      <c r="D162" s="459"/>
      <c r="E162" s="459"/>
      <c r="F162" s="460"/>
      <c r="G162" s="337"/>
      <c r="H162" s="338"/>
      <c r="I162" s="338"/>
      <c r="J162" s="187"/>
      <c r="K162" s="145"/>
      <c r="L162" s="341" t="s">
        <v>227</v>
      </c>
      <c r="M162" s="313"/>
      <c r="N162" s="313"/>
      <c r="O162" s="346"/>
      <c r="P162" s="347"/>
    </row>
    <row r="163" spans="1:37" ht="15.75" thickBot="1" x14ac:dyDescent="0.3">
      <c r="A163" s="444" t="s">
        <v>965</v>
      </c>
      <c r="B163" s="445"/>
      <c r="C163" s="445"/>
      <c r="D163" s="445"/>
      <c r="E163" s="445"/>
      <c r="F163" s="446"/>
    </row>
    <row r="164" spans="1:37" x14ac:dyDescent="0.25">
      <c r="A164" s="447"/>
      <c r="B164" s="448"/>
      <c r="C164" s="448"/>
      <c r="D164" s="448"/>
      <c r="E164" s="448"/>
      <c r="F164" s="449"/>
      <c r="L164" s="444" t="s">
        <v>966</v>
      </c>
      <c r="M164" s="445"/>
      <c r="N164" s="445"/>
      <c r="O164" s="445"/>
      <c r="P164" s="445"/>
      <c r="Q164" s="446"/>
      <c r="S164" s="444" t="s">
        <v>969</v>
      </c>
      <c r="T164" s="445"/>
      <c r="U164" s="445"/>
      <c r="V164" s="445"/>
      <c r="W164" s="445"/>
      <c r="X164" s="446"/>
    </row>
    <row r="165" spans="1:37" x14ac:dyDescent="0.25">
      <c r="A165" s="447"/>
      <c r="B165" s="448"/>
      <c r="C165" s="448"/>
      <c r="D165" s="448"/>
      <c r="E165" s="448"/>
      <c r="F165" s="449"/>
      <c r="L165" s="447"/>
      <c r="M165" s="448"/>
      <c r="N165" s="448"/>
      <c r="O165" s="448"/>
      <c r="P165" s="448"/>
      <c r="Q165" s="449"/>
      <c r="S165" s="447"/>
      <c r="T165" s="448"/>
      <c r="U165" s="448"/>
      <c r="V165" s="448"/>
      <c r="W165" s="448"/>
      <c r="X165" s="449"/>
    </row>
    <row r="166" spans="1:37" x14ac:dyDescent="0.25">
      <c r="A166" s="447"/>
      <c r="B166" s="448"/>
      <c r="C166" s="448"/>
      <c r="D166" s="448"/>
      <c r="E166" s="448"/>
      <c r="F166" s="449"/>
      <c r="L166" s="447"/>
      <c r="M166" s="448"/>
      <c r="N166" s="448"/>
      <c r="O166" s="448"/>
      <c r="P166" s="448"/>
      <c r="Q166" s="449"/>
      <c r="S166" s="447"/>
      <c r="T166" s="448"/>
      <c r="U166" s="448"/>
      <c r="V166" s="448"/>
      <c r="W166" s="448"/>
      <c r="X166" s="449"/>
    </row>
    <row r="167" spans="1:37" ht="15.75" thickBot="1" x14ac:dyDescent="0.3">
      <c r="A167" s="447"/>
      <c r="B167" s="448"/>
      <c r="C167" s="448"/>
      <c r="D167" s="448"/>
      <c r="E167" s="448"/>
      <c r="F167" s="449"/>
      <c r="L167" s="447"/>
      <c r="M167" s="448"/>
      <c r="N167" s="448"/>
      <c r="O167" s="448"/>
      <c r="P167" s="448"/>
      <c r="Q167" s="449"/>
      <c r="S167" s="447"/>
      <c r="T167" s="448"/>
      <c r="U167" s="448"/>
      <c r="V167" s="448"/>
      <c r="W167" s="448"/>
      <c r="X167" s="449"/>
    </row>
    <row r="168" spans="1:37" ht="15" customHeight="1" x14ac:dyDescent="0.25">
      <c r="A168" s="447"/>
      <c r="B168" s="448"/>
      <c r="C168" s="448"/>
      <c r="D168" s="448"/>
      <c r="E168" s="448"/>
      <c r="F168" s="449"/>
      <c r="L168" s="447"/>
      <c r="M168" s="448"/>
      <c r="N168" s="448"/>
      <c r="O168" s="448"/>
      <c r="P168" s="448"/>
      <c r="Q168" s="449"/>
      <c r="S168" s="447"/>
      <c r="T168" s="448"/>
      <c r="U168" s="448"/>
      <c r="V168" s="448"/>
      <c r="W168" s="448"/>
      <c r="X168" s="449"/>
      <c r="AD168" s="461" t="s">
        <v>997</v>
      </c>
      <c r="AE168" s="462"/>
      <c r="AF168" s="462"/>
      <c r="AG168" s="462"/>
      <c r="AH168" s="462"/>
      <c r="AI168" s="462"/>
      <c r="AJ168" s="462"/>
      <c r="AK168" s="463"/>
    </row>
    <row r="169" spans="1:37" x14ac:dyDescent="0.25">
      <c r="A169" s="447"/>
      <c r="B169" s="448"/>
      <c r="C169" s="448"/>
      <c r="D169" s="448"/>
      <c r="E169" s="448"/>
      <c r="F169" s="449"/>
      <c r="L169" s="447"/>
      <c r="M169" s="448"/>
      <c r="N169" s="448"/>
      <c r="O169" s="448"/>
      <c r="P169" s="448"/>
      <c r="Q169" s="449"/>
      <c r="S169" s="447"/>
      <c r="T169" s="448"/>
      <c r="U169" s="448"/>
      <c r="V169" s="448"/>
      <c r="W169" s="448"/>
      <c r="X169" s="449"/>
      <c r="AD169" s="464"/>
      <c r="AE169" s="776"/>
      <c r="AF169" s="776"/>
      <c r="AG169" s="776"/>
      <c r="AH169" s="776"/>
      <c r="AI169" s="776"/>
      <c r="AJ169" s="776"/>
      <c r="AK169" s="465"/>
    </row>
    <row r="170" spans="1:37" x14ac:dyDescent="0.25">
      <c r="A170" s="447"/>
      <c r="B170" s="448"/>
      <c r="C170" s="448"/>
      <c r="D170" s="448"/>
      <c r="E170" s="448"/>
      <c r="F170" s="449"/>
      <c r="L170" s="447"/>
      <c r="M170" s="448"/>
      <c r="N170" s="448"/>
      <c r="O170" s="448"/>
      <c r="P170" s="448"/>
      <c r="Q170" s="449"/>
      <c r="S170" s="447"/>
      <c r="T170" s="448"/>
      <c r="U170" s="448"/>
      <c r="V170" s="448"/>
      <c r="W170" s="448"/>
      <c r="X170" s="449"/>
      <c r="AD170" s="464"/>
      <c r="AE170" s="776"/>
      <c r="AF170" s="776"/>
      <c r="AG170" s="776"/>
      <c r="AH170" s="776"/>
      <c r="AI170" s="776"/>
      <c r="AJ170" s="776"/>
      <c r="AK170" s="465"/>
    </row>
    <row r="171" spans="1:37" ht="15.75" thickBot="1" x14ac:dyDescent="0.3">
      <c r="A171" s="450"/>
      <c r="B171" s="451"/>
      <c r="C171" s="451"/>
      <c r="D171" s="451"/>
      <c r="E171" s="451"/>
      <c r="F171" s="452"/>
      <c r="L171" s="447"/>
      <c r="M171" s="448"/>
      <c r="N171" s="448"/>
      <c r="O171" s="448"/>
      <c r="P171" s="448"/>
      <c r="Q171" s="449"/>
      <c r="S171" s="447"/>
      <c r="T171" s="448"/>
      <c r="U171" s="448"/>
      <c r="V171" s="448"/>
      <c r="W171" s="448"/>
      <c r="X171" s="449"/>
      <c r="AD171" s="464"/>
      <c r="AE171" s="776"/>
      <c r="AF171" s="776"/>
      <c r="AG171" s="776"/>
      <c r="AH171" s="776"/>
      <c r="AI171" s="776"/>
      <c r="AJ171" s="776"/>
      <c r="AK171" s="465"/>
    </row>
    <row r="172" spans="1:37" ht="15.75" thickBot="1" x14ac:dyDescent="0.3">
      <c r="L172" s="450"/>
      <c r="M172" s="451"/>
      <c r="N172" s="451"/>
      <c r="O172" s="451"/>
      <c r="P172" s="451"/>
      <c r="Q172" s="452"/>
      <c r="S172" s="450"/>
      <c r="T172" s="451"/>
      <c r="U172" s="451"/>
      <c r="V172" s="451"/>
      <c r="W172" s="451"/>
      <c r="X172" s="452"/>
      <c r="AD172" s="464"/>
      <c r="AE172" s="776"/>
      <c r="AF172" s="776"/>
      <c r="AG172" s="776"/>
      <c r="AH172" s="776"/>
      <c r="AI172" s="776"/>
      <c r="AJ172" s="776"/>
      <c r="AK172" s="465"/>
    </row>
    <row r="173" spans="1:37" ht="15.75" thickBot="1" x14ac:dyDescent="0.3">
      <c r="AD173" s="464"/>
      <c r="AE173" s="776"/>
      <c r="AF173" s="776"/>
      <c r="AG173" s="776"/>
      <c r="AH173" s="776"/>
      <c r="AI173" s="776"/>
      <c r="AJ173" s="776"/>
      <c r="AK173" s="465"/>
    </row>
    <row r="174" spans="1:37" ht="15" customHeight="1" x14ac:dyDescent="0.25">
      <c r="L174" s="444" t="s">
        <v>967</v>
      </c>
      <c r="M174" s="453"/>
      <c r="N174" s="453"/>
      <c r="O174" s="453"/>
      <c r="P174" s="453"/>
      <c r="Q174" s="453"/>
      <c r="R174" s="453"/>
      <c r="S174" s="454"/>
      <c r="U174" s="444" t="s">
        <v>968</v>
      </c>
      <c r="V174" s="453"/>
      <c r="W174" s="453"/>
      <c r="X174" s="453"/>
      <c r="Y174" s="453"/>
      <c r="Z174" s="453"/>
      <c r="AA174" s="453"/>
      <c r="AB174" s="454"/>
      <c r="AD174" s="464"/>
      <c r="AE174" s="776"/>
      <c r="AF174" s="776"/>
      <c r="AG174" s="776"/>
      <c r="AH174" s="776"/>
      <c r="AI174" s="776"/>
      <c r="AJ174" s="776"/>
      <c r="AK174" s="465"/>
    </row>
    <row r="175" spans="1:37" x14ac:dyDescent="0.25">
      <c r="L175" s="455"/>
      <c r="M175" s="456"/>
      <c r="N175" s="456"/>
      <c r="O175" s="456"/>
      <c r="P175" s="456"/>
      <c r="Q175" s="456"/>
      <c r="R175" s="456"/>
      <c r="S175" s="457"/>
      <c r="U175" s="455"/>
      <c r="V175" s="456"/>
      <c r="W175" s="456"/>
      <c r="X175" s="456"/>
      <c r="Y175" s="456"/>
      <c r="Z175" s="456"/>
      <c r="AA175" s="456"/>
      <c r="AB175" s="457"/>
      <c r="AD175" s="464"/>
      <c r="AE175" s="776"/>
      <c r="AF175" s="776"/>
      <c r="AG175" s="776"/>
      <c r="AH175" s="776"/>
      <c r="AI175" s="776"/>
      <c r="AJ175" s="776"/>
      <c r="AK175" s="465"/>
    </row>
    <row r="176" spans="1:37" x14ac:dyDescent="0.25">
      <c r="L176" s="455"/>
      <c r="M176" s="456"/>
      <c r="N176" s="456"/>
      <c r="O176" s="456"/>
      <c r="P176" s="456"/>
      <c r="Q176" s="456"/>
      <c r="R176" s="456"/>
      <c r="S176" s="457"/>
      <c r="U176" s="455"/>
      <c r="V176" s="456"/>
      <c r="W176" s="456"/>
      <c r="X176" s="456"/>
      <c r="Y176" s="456"/>
      <c r="Z176" s="456"/>
      <c r="AA176" s="456"/>
      <c r="AB176" s="457"/>
      <c r="AD176" s="464"/>
      <c r="AE176" s="776"/>
      <c r="AF176" s="776"/>
      <c r="AG176" s="776"/>
      <c r="AH176" s="776"/>
      <c r="AI176" s="776"/>
      <c r="AJ176" s="776"/>
      <c r="AK176" s="465"/>
    </row>
    <row r="177" spans="12:37" x14ac:dyDescent="0.25">
      <c r="L177" s="455"/>
      <c r="M177" s="456"/>
      <c r="N177" s="456"/>
      <c r="O177" s="456"/>
      <c r="P177" s="456"/>
      <c r="Q177" s="456"/>
      <c r="R177" s="456"/>
      <c r="S177" s="457"/>
      <c r="U177" s="455"/>
      <c r="V177" s="456"/>
      <c r="W177" s="456"/>
      <c r="X177" s="456"/>
      <c r="Y177" s="456"/>
      <c r="Z177" s="456"/>
      <c r="AA177" s="456"/>
      <c r="AB177" s="457"/>
      <c r="AD177" s="464"/>
      <c r="AE177" s="776"/>
      <c r="AF177" s="776"/>
      <c r="AG177" s="776"/>
      <c r="AH177" s="776"/>
      <c r="AI177" s="776"/>
      <c r="AJ177" s="776"/>
      <c r="AK177" s="465"/>
    </row>
    <row r="178" spans="12:37" x14ac:dyDescent="0.25">
      <c r="L178" s="455"/>
      <c r="M178" s="456"/>
      <c r="N178" s="456"/>
      <c r="O178" s="456"/>
      <c r="P178" s="456"/>
      <c r="Q178" s="456"/>
      <c r="R178" s="456"/>
      <c r="S178" s="457"/>
      <c r="U178" s="455"/>
      <c r="V178" s="456"/>
      <c r="W178" s="456"/>
      <c r="X178" s="456"/>
      <c r="Y178" s="456"/>
      <c r="Z178" s="456"/>
      <c r="AA178" s="456"/>
      <c r="AB178" s="457"/>
      <c r="AD178" s="464"/>
      <c r="AE178" s="776"/>
      <c r="AF178" s="776"/>
      <c r="AG178" s="776"/>
      <c r="AH178" s="776"/>
      <c r="AI178" s="776"/>
      <c r="AJ178" s="776"/>
      <c r="AK178" s="465"/>
    </row>
    <row r="179" spans="12:37" x14ac:dyDescent="0.25">
      <c r="L179" s="455"/>
      <c r="M179" s="456"/>
      <c r="N179" s="456"/>
      <c r="O179" s="456"/>
      <c r="P179" s="456"/>
      <c r="Q179" s="456"/>
      <c r="R179" s="456"/>
      <c r="S179" s="457"/>
      <c r="U179" s="455"/>
      <c r="V179" s="456"/>
      <c r="W179" s="456"/>
      <c r="X179" s="456"/>
      <c r="Y179" s="456"/>
      <c r="Z179" s="456"/>
      <c r="AA179" s="456"/>
      <c r="AB179" s="457"/>
      <c r="AD179" s="464"/>
      <c r="AE179" s="776"/>
      <c r="AF179" s="776"/>
      <c r="AG179" s="776"/>
      <c r="AH179" s="776"/>
      <c r="AI179" s="776"/>
      <c r="AJ179" s="776"/>
      <c r="AK179" s="465"/>
    </row>
    <row r="180" spans="12:37" x14ac:dyDescent="0.25">
      <c r="L180" s="455"/>
      <c r="M180" s="456"/>
      <c r="N180" s="456"/>
      <c r="O180" s="456"/>
      <c r="P180" s="456"/>
      <c r="Q180" s="456"/>
      <c r="R180" s="456"/>
      <c r="S180" s="457"/>
      <c r="U180" s="455"/>
      <c r="V180" s="456"/>
      <c r="W180" s="456"/>
      <c r="X180" s="456"/>
      <c r="Y180" s="456"/>
      <c r="Z180" s="456"/>
      <c r="AA180" s="456"/>
      <c r="AB180" s="457"/>
      <c r="AD180" s="464"/>
      <c r="AE180" s="776"/>
      <c r="AF180" s="776"/>
      <c r="AG180" s="776"/>
      <c r="AH180" s="776"/>
      <c r="AI180" s="776"/>
      <c r="AJ180" s="776"/>
      <c r="AK180" s="465"/>
    </row>
    <row r="181" spans="12:37" x14ac:dyDescent="0.25">
      <c r="L181" s="455"/>
      <c r="M181" s="456"/>
      <c r="N181" s="456"/>
      <c r="O181" s="456"/>
      <c r="P181" s="456"/>
      <c r="Q181" s="456"/>
      <c r="R181" s="456"/>
      <c r="S181" s="457"/>
      <c r="U181" s="455"/>
      <c r="V181" s="456"/>
      <c r="W181" s="456"/>
      <c r="X181" s="456"/>
      <c r="Y181" s="456"/>
      <c r="Z181" s="456"/>
      <c r="AA181" s="456"/>
      <c r="AB181" s="457"/>
      <c r="AD181" s="464"/>
      <c r="AE181" s="776"/>
      <c r="AF181" s="776"/>
      <c r="AG181" s="776"/>
      <c r="AH181" s="776"/>
      <c r="AI181" s="776"/>
      <c r="AJ181" s="776"/>
      <c r="AK181" s="465"/>
    </row>
    <row r="182" spans="12:37" x14ac:dyDescent="0.25">
      <c r="L182" s="455"/>
      <c r="M182" s="456"/>
      <c r="N182" s="456"/>
      <c r="O182" s="456"/>
      <c r="P182" s="456"/>
      <c r="Q182" s="456"/>
      <c r="R182" s="456"/>
      <c r="S182" s="457"/>
      <c r="U182" s="455"/>
      <c r="V182" s="456"/>
      <c r="W182" s="456"/>
      <c r="X182" s="456"/>
      <c r="Y182" s="456"/>
      <c r="Z182" s="456"/>
      <c r="AA182" s="456"/>
      <c r="AB182" s="457"/>
      <c r="AD182" s="464"/>
      <c r="AE182" s="776"/>
      <c r="AF182" s="776"/>
      <c r="AG182" s="776"/>
      <c r="AH182" s="776"/>
      <c r="AI182" s="776"/>
      <c r="AJ182" s="776"/>
      <c r="AK182" s="465"/>
    </row>
    <row r="183" spans="12:37" ht="15.75" thickBot="1" x14ac:dyDescent="0.3">
      <c r="L183" s="455"/>
      <c r="M183" s="456"/>
      <c r="N183" s="456"/>
      <c r="O183" s="456"/>
      <c r="P183" s="456"/>
      <c r="Q183" s="456"/>
      <c r="R183" s="456"/>
      <c r="S183" s="457"/>
      <c r="U183" s="455"/>
      <c r="V183" s="456"/>
      <c r="W183" s="456"/>
      <c r="X183" s="456"/>
      <c r="Y183" s="456"/>
      <c r="Z183" s="456"/>
      <c r="AA183" s="456"/>
      <c r="AB183" s="457"/>
      <c r="AD183" s="466"/>
      <c r="AE183" s="467"/>
      <c r="AF183" s="467"/>
      <c r="AG183" s="467"/>
      <c r="AH183" s="467"/>
      <c r="AI183" s="467"/>
      <c r="AJ183" s="467"/>
      <c r="AK183" s="468"/>
    </row>
    <row r="184" spans="12:37" ht="15.75" thickBot="1" x14ac:dyDescent="0.3">
      <c r="L184" s="458"/>
      <c r="M184" s="459"/>
      <c r="N184" s="459"/>
      <c r="O184" s="459"/>
      <c r="P184" s="459"/>
      <c r="Q184" s="459"/>
      <c r="R184" s="459"/>
      <c r="S184" s="460"/>
      <c r="U184" s="458"/>
      <c r="V184" s="459"/>
      <c r="W184" s="459"/>
      <c r="X184" s="459"/>
      <c r="Y184" s="459"/>
      <c r="Z184" s="459"/>
      <c r="AA184" s="459"/>
      <c r="AB184" s="460"/>
    </row>
  </sheetData>
  <mergeCells count="461">
    <mergeCell ref="A163:F171"/>
    <mergeCell ref="L164:Q172"/>
    <mergeCell ref="L174:S184"/>
    <mergeCell ref="U174:AB184"/>
    <mergeCell ref="S164:X172"/>
    <mergeCell ref="A3:F37"/>
    <mergeCell ref="A38:F43"/>
    <mergeCell ref="A44:F71"/>
    <mergeCell ref="A72:F83"/>
    <mergeCell ref="A84:F92"/>
    <mergeCell ref="A93:F98"/>
    <mergeCell ref="A99:F162"/>
    <mergeCell ref="L31:M31"/>
    <mergeCell ref="L32:M32"/>
    <mergeCell ref="L33:M33"/>
    <mergeCell ref="G3:J3"/>
    <mergeCell ref="G38:J38"/>
    <mergeCell ref="L39:M39"/>
    <mergeCell ref="H39:J43"/>
    <mergeCell ref="L4:M4"/>
    <mergeCell ref="L5:M5"/>
    <mergeCell ref="AD168:AK183"/>
    <mergeCell ref="L7:M7"/>
    <mergeCell ref="L8:M8"/>
    <mergeCell ref="L34:M34"/>
    <mergeCell ref="L35:M35"/>
    <mergeCell ref="L9:M9"/>
    <mergeCell ref="L10:M10"/>
    <mergeCell ref="L11:M11"/>
    <mergeCell ref="L12:M12"/>
    <mergeCell ref="L13:M13"/>
    <mergeCell ref="L14:M14"/>
    <mergeCell ref="L15:M15"/>
    <mergeCell ref="L16:M16"/>
    <mergeCell ref="L17:M17"/>
    <mergeCell ref="L18:M18"/>
    <mergeCell ref="L19:M19"/>
    <mergeCell ref="L20:M20"/>
    <mergeCell ref="T39:U39"/>
    <mergeCell ref="V39:W39"/>
    <mergeCell ref="N40:O40"/>
    <mergeCell ref="P40:Q40"/>
    <mergeCell ref="R40:S40"/>
    <mergeCell ref="T40:U40"/>
    <mergeCell ref="V40:W40"/>
    <mergeCell ref="N42:O42"/>
    <mergeCell ref="P42:Q42"/>
    <mergeCell ref="R42:S42"/>
    <mergeCell ref="T42:U42"/>
    <mergeCell ref="V42:W42"/>
    <mergeCell ref="T43:U43"/>
    <mergeCell ref="V43:W43"/>
    <mergeCell ref="N41:O41"/>
    <mergeCell ref="P41:Q41"/>
    <mergeCell ref="R41:S41"/>
    <mergeCell ref="T41:U41"/>
    <mergeCell ref="V41:W41"/>
    <mergeCell ref="L40:M40"/>
    <mergeCell ref="L41:M41"/>
    <mergeCell ref="L42:M42"/>
    <mergeCell ref="L43:M43"/>
    <mergeCell ref="G4:G8"/>
    <mergeCell ref="L46:M46"/>
    <mergeCell ref="L47:M47"/>
    <mergeCell ref="L48:M48"/>
    <mergeCell ref="L49:M49"/>
    <mergeCell ref="N43:O43"/>
    <mergeCell ref="P43:Q43"/>
    <mergeCell ref="R43:S43"/>
    <mergeCell ref="N39:O39"/>
    <mergeCell ref="P39:Q39"/>
    <mergeCell ref="R39:S39"/>
    <mergeCell ref="L36:M36"/>
    <mergeCell ref="L37:M37"/>
    <mergeCell ref="L21:M21"/>
    <mergeCell ref="L22:M22"/>
    <mergeCell ref="L23:M23"/>
    <mergeCell ref="L24:M24"/>
    <mergeCell ref="L25:M25"/>
    <mergeCell ref="L26:M26"/>
    <mergeCell ref="L27:M27"/>
    <mergeCell ref="L28:M28"/>
    <mergeCell ref="L29:M29"/>
    <mergeCell ref="L30:M30"/>
    <mergeCell ref="L6:M6"/>
    <mergeCell ref="L72:T72"/>
    <mergeCell ref="X48:Y48"/>
    <mergeCell ref="X47:Y47"/>
    <mergeCell ref="T45:U45"/>
    <mergeCell ref="R45:S45"/>
    <mergeCell ref="V45:W45"/>
    <mergeCell ref="V47:W47"/>
    <mergeCell ref="V49:W49"/>
    <mergeCell ref="X45:Y45"/>
    <mergeCell ref="X49:Y49"/>
    <mergeCell ref="R46:S46"/>
    <mergeCell ref="R47:S47"/>
    <mergeCell ref="R48:S48"/>
    <mergeCell ref="T48:U48"/>
    <mergeCell ref="V46:W46"/>
    <mergeCell ref="T46:U46"/>
    <mergeCell ref="R49:S49"/>
    <mergeCell ref="T49:U49"/>
    <mergeCell ref="T47:U47"/>
    <mergeCell ref="V48:W48"/>
    <mergeCell ref="X46:Y46"/>
    <mergeCell ref="N46:O46"/>
    <mergeCell ref="N47:O47"/>
    <mergeCell ref="N48:O48"/>
    <mergeCell ref="L79:M79"/>
    <mergeCell ref="L80:M80"/>
    <mergeCell ref="L81:M81"/>
    <mergeCell ref="L82:M82"/>
    <mergeCell ref="L83:M83"/>
    <mergeCell ref="G73:G83"/>
    <mergeCell ref="N74:O78"/>
    <mergeCell ref="N79:O83"/>
    <mergeCell ref="P74:R78"/>
    <mergeCell ref="P79:R83"/>
    <mergeCell ref="L73:T73"/>
    <mergeCell ref="L74:M74"/>
    <mergeCell ref="L75:M75"/>
    <mergeCell ref="L76:M76"/>
    <mergeCell ref="L77:M77"/>
    <mergeCell ref="L78:M78"/>
    <mergeCell ref="H68:I68"/>
    <mergeCell ref="H69:I69"/>
    <mergeCell ref="H70:I70"/>
    <mergeCell ref="H71:I71"/>
    <mergeCell ref="G84:J84"/>
    <mergeCell ref="G85:G88"/>
    <mergeCell ref="G89:G92"/>
    <mergeCell ref="H85:I88"/>
    <mergeCell ref="J85:J88"/>
    <mergeCell ref="H91:I92"/>
    <mergeCell ref="J91:J92"/>
    <mergeCell ref="G72:J72"/>
    <mergeCell ref="L91:M91"/>
    <mergeCell ref="L92:M92"/>
    <mergeCell ref="O89:Q92"/>
    <mergeCell ref="R85:T85"/>
    <mergeCell ref="R89:R90"/>
    <mergeCell ref="R91:R92"/>
    <mergeCell ref="S89:T90"/>
    <mergeCell ref="S91:T92"/>
    <mergeCell ref="G10:G13"/>
    <mergeCell ref="H11:J12"/>
    <mergeCell ref="L90:M90"/>
    <mergeCell ref="L89:M89"/>
    <mergeCell ref="L85:M85"/>
    <mergeCell ref="H89:I90"/>
    <mergeCell ref="J89:J90"/>
    <mergeCell ref="L86:M86"/>
    <mergeCell ref="L87:M87"/>
    <mergeCell ref="L88:M88"/>
    <mergeCell ref="O85:Q88"/>
    <mergeCell ref="H63:I63"/>
    <mergeCell ref="H64:I64"/>
    <mergeCell ref="H65:I65"/>
    <mergeCell ref="H66:I66"/>
    <mergeCell ref="H67:I67"/>
    <mergeCell ref="H97:I97"/>
    <mergeCell ref="H98:I98"/>
    <mergeCell ref="G94:G98"/>
    <mergeCell ref="H94:J94"/>
    <mergeCell ref="L95:M95"/>
    <mergeCell ref="L96:M96"/>
    <mergeCell ref="L97:M97"/>
    <mergeCell ref="N95:O95"/>
    <mergeCell ref="N96:O96"/>
    <mergeCell ref="N97:O97"/>
    <mergeCell ref="V124:W124"/>
    <mergeCell ref="V125:W125"/>
    <mergeCell ref="V126:W126"/>
    <mergeCell ref="L94:O94"/>
    <mergeCell ref="P94:Q94"/>
    <mergeCell ref="P95:Q95"/>
    <mergeCell ref="P96:Q96"/>
    <mergeCell ref="P97:Q97"/>
    <mergeCell ref="P98:Q98"/>
    <mergeCell ref="Q106:S106"/>
    <mergeCell ref="T106:U106"/>
    <mergeCell ref="V106:W106"/>
    <mergeCell ref="Q115:S115"/>
    <mergeCell ref="T115:U115"/>
    <mergeCell ref="V115:W115"/>
    <mergeCell ref="Q116:S116"/>
    <mergeCell ref="T116:U116"/>
    <mergeCell ref="V116:W116"/>
    <mergeCell ref="Q118:S118"/>
    <mergeCell ref="T118:U118"/>
    <mergeCell ref="V118:W118"/>
    <mergeCell ref="Q122:S122"/>
    <mergeCell ref="Q123:S123"/>
    <mergeCell ref="Q124:S124"/>
    <mergeCell ref="V123:W123"/>
    <mergeCell ref="L122:N122"/>
    <mergeCell ref="L100:N100"/>
    <mergeCell ref="O100:P100"/>
    <mergeCell ref="H101:H103"/>
    <mergeCell ref="I101:I103"/>
    <mergeCell ref="O101:P101"/>
    <mergeCell ref="O102:P102"/>
    <mergeCell ref="O103:P103"/>
    <mergeCell ref="O104:P104"/>
    <mergeCell ref="O105:P105"/>
    <mergeCell ref="O106:P106"/>
    <mergeCell ref="H104:H106"/>
    <mergeCell ref="I104:I106"/>
    <mergeCell ref="O120:P120"/>
    <mergeCell ref="Q121:S121"/>
    <mergeCell ref="O127:P128"/>
    <mergeCell ref="O129:P130"/>
    <mergeCell ref="O131:P132"/>
    <mergeCell ref="O121:P121"/>
    <mergeCell ref="O122:P122"/>
    <mergeCell ref="L132:N132"/>
    <mergeCell ref="G99:J99"/>
    <mergeCell ref="G101:G106"/>
    <mergeCell ref="L101:N101"/>
    <mergeCell ref="L102:N102"/>
    <mergeCell ref="L103:N103"/>
    <mergeCell ref="L104:N104"/>
    <mergeCell ref="L105:N105"/>
    <mergeCell ref="L106:N106"/>
    <mergeCell ref="G107:G122"/>
    <mergeCell ref="H107:H109"/>
    <mergeCell ref="I107:I109"/>
    <mergeCell ref="H110:H117"/>
    <mergeCell ref="I110:I117"/>
    <mergeCell ref="H118:H122"/>
    <mergeCell ref="I118:I122"/>
    <mergeCell ref="O107:P107"/>
    <mergeCell ref="L107:N107"/>
    <mergeCell ref="L108:N108"/>
    <mergeCell ref="L109:N109"/>
    <mergeCell ref="L110:N110"/>
    <mergeCell ref="L111:N111"/>
    <mergeCell ref="L112:N112"/>
    <mergeCell ref="L113:N113"/>
    <mergeCell ref="L114:N114"/>
    <mergeCell ref="L115:N115"/>
    <mergeCell ref="O115:P115"/>
    <mergeCell ref="L119:N119"/>
    <mergeCell ref="L120:N120"/>
    <mergeCell ref="L121:N121"/>
    <mergeCell ref="G123:G132"/>
    <mergeCell ref="L142:N142"/>
    <mergeCell ref="L143:N143"/>
    <mergeCell ref="L144:N144"/>
    <mergeCell ref="O142:P142"/>
    <mergeCell ref="O143:P143"/>
    <mergeCell ref="O144:P144"/>
    <mergeCell ref="G142:G144"/>
    <mergeCell ref="H142:H144"/>
    <mergeCell ref="I142:I144"/>
    <mergeCell ref="H123:H132"/>
    <mergeCell ref="I123:I132"/>
    <mergeCell ref="G133:G141"/>
    <mergeCell ref="H133:H141"/>
    <mergeCell ref="L123:N123"/>
    <mergeCell ref="L124:N124"/>
    <mergeCell ref="L125:N125"/>
    <mergeCell ref="L126:N126"/>
    <mergeCell ref="L127:N127"/>
    <mergeCell ref="L128:N128"/>
    <mergeCell ref="L129:N129"/>
    <mergeCell ref="L130:N130"/>
    <mergeCell ref="L131:N131"/>
    <mergeCell ref="L133:N133"/>
    <mergeCell ref="O162:P162"/>
    <mergeCell ref="L153:N153"/>
    <mergeCell ref="L154:N154"/>
    <mergeCell ref="O145:P145"/>
    <mergeCell ref="O146:P146"/>
    <mergeCell ref="O147:P147"/>
    <mergeCell ref="O148:P148"/>
    <mergeCell ref="O149:P149"/>
    <mergeCell ref="O151:P151"/>
    <mergeCell ref="O152:P152"/>
    <mergeCell ref="O153:P153"/>
    <mergeCell ref="O154:P154"/>
    <mergeCell ref="O138:P138"/>
    <mergeCell ref="L139:N139"/>
    <mergeCell ref="O139:P139"/>
    <mergeCell ref="L141:N141"/>
    <mergeCell ref="O141:P141"/>
    <mergeCell ref="L140:N140"/>
    <mergeCell ref="O140:P140"/>
    <mergeCell ref="L162:N162"/>
    <mergeCell ref="O133:P133"/>
    <mergeCell ref="L134:N134"/>
    <mergeCell ref="O134:P134"/>
    <mergeCell ref="L135:N135"/>
    <mergeCell ref="O135:P135"/>
    <mergeCell ref="L136:N136"/>
    <mergeCell ref="O136:P136"/>
    <mergeCell ref="L137:N137"/>
    <mergeCell ref="O137:P137"/>
    <mergeCell ref="O155:P155"/>
    <mergeCell ref="O156:P156"/>
    <mergeCell ref="O157:P157"/>
    <mergeCell ref="O158:P158"/>
    <mergeCell ref="O159:P159"/>
    <mergeCell ref="O160:P160"/>
    <mergeCell ref="O161:P161"/>
    <mergeCell ref="I133:I141"/>
    <mergeCell ref="L150:N150"/>
    <mergeCell ref="O150:P150"/>
    <mergeCell ref="G145:G152"/>
    <mergeCell ref="G153:G162"/>
    <mergeCell ref="H153:H162"/>
    <mergeCell ref="I153:I162"/>
    <mergeCell ref="H145:H152"/>
    <mergeCell ref="I145:I152"/>
    <mergeCell ref="L155:N155"/>
    <mergeCell ref="L156:N156"/>
    <mergeCell ref="L157:N157"/>
    <mergeCell ref="L158:N158"/>
    <mergeCell ref="L159:N159"/>
    <mergeCell ref="L160:N160"/>
    <mergeCell ref="L161:N161"/>
    <mergeCell ref="L145:N145"/>
    <mergeCell ref="L146:N146"/>
    <mergeCell ref="L147:N147"/>
    <mergeCell ref="L148:N148"/>
    <mergeCell ref="L149:N149"/>
    <mergeCell ref="L151:N151"/>
    <mergeCell ref="L152:N152"/>
    <mergeCell ref="L138:N138"/>
    <mergeCell ref="T123:U123"/>
    <mergeCell ref="T124:U124"/>
    <mergeCell ref="T125:U125"/>
    <mergeCell ref="T126:U126"/>
    <mergeCell ref="T110:U110"/>
    <mergeCell ref="T111:U111"/>
    <mergeCell ref="T112:U112"/>
    <mergeCell ref="T113:U113"/>
    <mergeCell ref="T114:U114"/>
    <mergeCell ref="T117:U117"/>
    <mergeCell ref="T119:U119"/>
    <mergeCell ref="T108:U108"/>
    <mergeCell ref="Q101:S101"/>
    <mergeCell ref="Q102:S102"/>
    <mergeCell ref="Q103:S103"/>
    <mergeCell ref="Q104:S104"/>
    <mergeCell ref="Q105:S105"/>
    <mergeCell ref="Q107:S107"/>
    <mergeCell ref="Q108:S108"/>
    <mergeCell ref="T121:U121"/>
    <mergeCell ref="T120:U120"/>
    <mergeCell ref="T109:U109"/>
    <mergeCell ref="V120:W120"/>
    <mergeCell ref="V121:W121"/>
    <mergeCell ref="V122:W122"/>
    <mergeCell ref="Q109:S109"/>
    <mergeCell ref="Q110:S110"/>
    <mergeCell ref="Q111:S111"/>
    <mergeCell ref="Q112:S112"/>
    <mergeCell ref="Q113:S113"/>
    <mergeCell ref="Q114:S114"/>
    <mergeCell ref="Q117:S117"/>
    <mergeCell ref="Q119:S119"/>
    <mergeCell ref="Q120:S120"/>
    <mergeCell ref="T122:U122"/>
    <mergeCell ref="V108:W108"/>
    <mergeCell ref="V109:W109"/>
    <mergeCell ref="V110:W110"/>
    <mergeCell ref="V111:W111"/>
    <mergeCell ref="V112:W112"/>
    <mergeCell ref="V113:W113"/>
    <mergeCell ref="V114:W114"/>
    <mergeCell ref="V117:W117"/>
    <mergeCell ref="V119:W119"/>
    <mergeCell ref="T100:U100"/>
    <mergeCell ref="Q99:W99"/>
    <mergeCell ref="V100:W100"/>
    <mergeCell ref="V101:W101"/>
    <mergeCell ref="V102:W102"/>
    <mergeCell ref="V103:W103"/>
    <mergeCell ref="V104:W104"/>
    <mergeCell ref="V105:W105"/>
    <mergeCell ref="V107:W107"/>
    <mergeCell ref="T101:U101"/>
    <mergeCell ref="T102:U102"/>
    <mergeCell ref="T103:U103"/>
    <mergeCell ref="T104:U104"/>
    <mergeCell ref="T105:U105"/>
    <mergeCell ref="T107:U107"/>
    <mergeCell ref="H62:I62"/>
    <mergeCell ref="Q125:S125"/>
    <mergeCell ref="Q126:S126"/>
    <mergeCell ref="Q100:S100"/>
    <mergeCell ref="L116:N116"/>
    <mergeCell ref="L117:N117"/>
    <mergeCell ref="L118:N118"/>
    <mergeCell ref="O108:P108"/>
    <mergeCell ref="O109:P109"/>
    <mergeCell ref="O110:P110"/>
    <mergeCell ref="O111:P111"/>
    <mergeCell ref="O112:P112"/>
    <mergeCell ref="O113:P113"/>
    <mergeCell ref="O114:P114"/>
    <mergeCell ref="O116:P116"/>
    <mergeCell ref="O117:P117"/>
    <mergeCell ref="O118:P118"/>
    <mergeCell ref="O119:P119"/>
    <mergeCell ref="O123:P124"/>
    <mergeCell ref="O125:P126"/>
    <mergeCell ref="L93:Q93"/>
    <mergeCell ref="G93:J93"/>
    <mergeCell ref="H95:I95"/>
    <mergeCell ref="H96:I96"/>
    <mergeCell ref="O63:P65"/>
    <mergeCell ref="Q64:Q65"/>
    <mergeCell ref="R64:R65"/>
    <mergeCell ref="L50:Y50"/>
    <mergeCell ref="G45:G71"/>
    <mergeCell ref="L56:N56"/>
    <mergeCell ref="L57:N57"/>
    <mergeCell ref="L58:N58"/>
    <mergeCell ref="L59:N59"/>
    <mergeCell ref="L60:N60"/>
    <mergeCell ref="L61:N61"/>
    <mergeCell ref="L62:N62"/>
    <mergeCell ref="L63:N63"/>
    <mergeCell ref="L64:N64"/>
    <mergeCell ref="L65:N65"/>
    <mergeCell ref="L66:N66"/>
    <mergeCell ref="L67:N67"/>
    <mergeCell ref="L68:N68"/>
    <mergeCell ref="L69:N69"/>
    <mergeCell ref="L70:N70"/>
    <mergeCell ref="L71:N71"/>
    <mergeCell ref="H56:I56"/>
    <mergeCell ref="H57:I57"/>
    <mergeCell ref="H58:I58"/>
    <mergeCell ref="L55:Y55"/>
    <mergeCell ref="G1:AG1"/>
    <mergeCell ref="G2:AG2"/>
    <mergeCell ref="A1:F2"/>
    <mergeCell ref="H51:J52"/>
    <mergeCell ref="H53:J54"/>
    <mergeCell ref="G15:G18"/>
    <mergeCell ref="H16:J17"/>
    <mergeCell ref="O59:P61"/>
    <mergeCell ref="Q60:Q61"/>
    <mergeCell ref="R60:R61"/>
    <mergeCell ref="H59:I59"/>
    <mergeCell ref="H60:I60"/>
    <mergeCell ref="H61:I61"/>
    <mergeCell ref="N49:O49"/>
    <mergeCell ref="P46:Q46"/>
    <mergeCell ref="P47:Q47"/>
    <mergeCell ref="P48:Q48"/>
    <mergeCell ref="P49:Q49"/>
    <mergeCell ref="L45:Q45"/>
    <mergeCell ref="G44:J44"/>
    <mergeCell ref="G39:G43"/>
    <mergeCell ref="H45:J49"/>
    <mergeCell ref="H4:J8"/>
  </mergeCells>
  <phoneticPr fontId="5" type="noConversion"/>
  <dataValidations count="4">
    <dataValidation type="list" allowBlank="1" showInputMessage="1" showErrorMessage="1" sqref="H11:J12" xr:uid="{8C3FA303-7870-4EF9-9DDD-ADC0E1F942D4}">
      <formula1>"Male, Female"</formula1>
    </dataValidation>
    <dataValidation type="list" allowBlank="1" showInputMessage="1" showErrorMessage="1" sqref="H4" xr:uid="{8946E129-EDB7-43C2-A12E-E5D2986E4E38}">
      <formula1>$L$4:$L$37</formula1>
    </dataValidation>
    <dataValidation type="list" allowBlank="1" showInputMessage="1" showErrorMessage="1" sqref="H53" xr:uid="{DB07E802-83DB-41B6-942C-06AD6C6BFDEB}">
      <formula1>Realm_Options</formula1>
    </dataValidation>
    <dataValidation type="whole" operator="greaterThan" allowBlank="1" showInputMessage="1" showErrorMessage="1" sqref="H16:J17" xr:uid="{D0BEBDD9-1E76-48FE-94DB-C41C47F2E0B7}">
      <formula1>1</formula1>
    </dataValidation>
  </dataValidations>
  <pageMargins left="0.7" right="0.7" top="0.75" bottom="0.75" header="0.3" footer="0.3"/>
  <pageSetup paperSize="175" orientation="portrait" horizontalDpi="203" verticalDpi="203" r:id="rId1"/>
  <extLst>
    <ext xmlns:x14="http://schemas.microsoft.com/office/spreadsheetml/2009/9/main" uri="{CCE6A557-97BC-4b89-ADB6-D9C93CAAB3DF}">
      <x14:dataValidations xmlns:xm="http://schemas.microsoft.com/office/excel/2006/main" count="2">
        <x14:dataValidation type="list" allowBlank="1" showInputMessage="1" showErrorMessage="1" xr:uid="{04DAAD88-8E77-468F-8A8B-359A9C208E31}">
          <x14:formula1>
            <xm:f>Source_Data!$AX$4:$AX$31</xm:f>
          </x14:formula1>
          <xm:sqref>H39:J43</xm:sqref>
        </x14:dataValidation>
        <x14:dataValidation type="list" allowBlank="1" showInputMessage="1" showErrorMessage="1" xr:uid="{15A58F2E-2754-4C6A-B4A8-3F4175D7D322}">
          <x14:formula1>
            <xm:f>Source_Data!$D$4:$D$30</xm:f>
          </x14:formula1>
          <xm:sqref>H45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CB8D1-8A5E-41AA-BCF2-7B56113C8A6A}">
  <sheetPr>
    <tabColor theme="9" tint="0.79998168889431442"/>
    <pageSetUpPr fitToPage="1"/>
  </sheetPr>
  <dimension ref="A1:BI210"/>
  <sheetViews>
    <sheetView workbookViewId="0">
      <pane xSplit="1" ySplit="9" topLeftCell="B10" activePane="bottomRight" state="frozen"/>
      <selection pane="topRight" activeCell="B1" sqref="B1"/>
      <selection pane="bottomLeft" activeCell="A10" sqref="A10"/>
      <selection pane="bottomRight" activeCell="R29" sqref="R29"/>
    </sheetView>
  </sheetViews>
  <sheetFormatPr defaultRowHeight="15" x14ac:dyDescent="0.25"/>
  <cols>
    <col min="2" max="2" width="17" customWidth="1"/>
    <col min="6" max="6" width="21.28515625" customWidth="1"/>
    <col min="7" max="8" width="16.85546875" style="47" customWidth="1"/>
    <col min="9" max="9" width="10.85546875" style="1" bestFit="1" customWidth="1"/>
    <col min="11" max="30" width="4.42578125" style="1" customWidth="1"/>
    <col min="37" max="37" width="9.140625" customWidth="1"/>
    <col min="42" max="42" width="5" style="1" customWidth="1"/>
    <col min="43" max="61" width="3.7109375" style="1" customWidth="1"/>
  </cols>
  <sheetData>
    <row r="1" spans="1:61" x14ac:dyDescent="0.25">
      <c r="B1" s="21"/>
      <c r="G1" s="230"/>
      <c r="H1" s="231"/>
      <c r="I1" s="83"/>
      <c r="J1" s="19"/>
      <c r="K1" s="472" t="s">
        <v>231</v>
      </c>
      <c r="L1" s="472"/>
      <c r="M1" s="472"/>
      <c r="N1" s="472"/>
      <c r="O1" s="472"/>
      <c r="P1" s="472"/>
      <c r="Q1" s="472"/>
      <c r="R1" s="472"/>
      <c r="S1" s="472"/>
      <c r="T1" s="472"/>
      <c r="U1" s="472"/>
      <c r="V1" s="472"/>
      <c r="W1" s="472"/>
      <c r="X1" s="472"/>
      <c r="Y1" s="472"/>
      <c r="Z1" s="472"/>
      <c r="AA1" s="472"/>
      <c r="AB1" s="472"/>
      <c r="AC1" s="472"/>
      <c r="AD1" s="473"/>
      <c r="AL1" s="22"/>
      <c r="AP1" s="469" t="s">
        <v>235</v>
      </c>
      <c r="AQ1" s="469"/>
      <c r="AR1" s="469"/>
      <c r="AS1" s="469"/>
      <c r="AT1" s="469"/>
      <c r="AU1" s="469"/>
      <c r="AV1" s="469"/>
      <c r="AW1" s="469"/>
      <c r="AX1" s="469"/>
      <c r="AY1" s="469"/>
      <c r="AZ1" s="469"/>
      <c r="BA1" s="469"/>
      <c r="BB1" s="469"/>
      <c r="BC1" s="469"/>
      <c r="BD1" s="469"/>
      <c r="BE1" s="469"/>
      <c r="BF1" s="469"/>
      <c r="BG1" s="469"/>
      <c r="BH1" s="469"/>
      <c r="BI1" s="469"/>
    </row>
    <row r="2" spans="1:61" x14ac:dyDescent="0.25">
      <c r="B2" s="21"/>
      <c r="G2" s="470" t="s">
        <v>234</v>
      </c>
      <c r="H2" s="471"/>
      <c r="I2" s="471"/>
      <c r="J2" s="471"/>
      <c r="K2" s="43" t="e">
        <f>60+Main!C10</f>
        <v>#N/A</v>
      </c>
      <c r="L2" s="67" t="e">
        <f>60+K6</f>
        <v>#N/A</v>
      </c>
      <c r="M2" s="67" t="e">
        <f t="shared" ref="M2:AD2" si="0">60+L6</f>
        <v>#N/A</v>
      </c>
      <c r="N2" s="67" t="e">
        <f t="shared" si="0"/>
        <v>#N/A</v>
      </c>
      <c r="O2" s="67" t="e">
        <f t="shared" si="0"/>
        <v>#N/A</v>
      </c>
      <c r="P2" s="67" t="e">
        <f t="shared" si="0"/>
        <v>#N/A</v>
      </c>
      <c r="Q2" s="67" t="e">
        <f t="shared" si="0"/>
        <v>#N/A</v>
      </c>
      <c r="R2" s="67" t="e">
        <f t="shared" si="0"/>
        <v>#N/A</v>
      </c>
      <c r="S2" s="67" t="e">
        <f t="shared" si="0"/>
        <v>#N/A</v>
      </c>
      <c r="T2" s="67" t="e">
        <f t="shared" si="0"/>
        <v>#N/A</v>
      </c>
      <c r="U2" s="67" t="e">
        <f t="shared" si="0"/>
        <v>#N/A</v>
      </c>
      <c r="V2" s="67" t="e">
        <f t="shared" si="0"/>
        <v>#N/A</v>
      </c>
      <c r="W2" s="67" t="e">
        <f t="shared" si="0"/>
        <v>#N/A</v>
      </c>
      <c r="X2" s="67" t="e">
        <f t="shared" si="0"/>
        <v>#N/A</v>
      </c>
      <c r="Y2" s="67" t="e">
        <f t="shared" si="0"/>
        <v>#N/A</v>
      </c>
      <c r="Z2" s="67" t="e">
        <f t="shared" si="0"/>
        <v>#N/A</v>
      </c>
      <c r="AA2" s="67" t="e">
        <f t="shared" si="0"/>
        <v>#N/A</v>
      </c>
      <c r="AB2" s="67" t="e">
        <f t="shared" si="0"/>
        <v>#N/A</v>
      </c>
      <c r="AC2" s="67" t="e">
        <f t="shared" si="0"/>
        <v>#N/A</v>
      </c>
      <c r="AD2" s="232" t="e">
        <f t="shared" si="0"/>
        <v>#N/A</v>
      </c>
      <c r="AL2" s="22"/>
      <c r="AP2" s="40"/>
      <c r="AQ2" s="40"/>
      <c r="AR2" s="40"/>
      <c r="AS2" s="40"/>
      <c r="AT2" s="40"/>
      <c r="AU2" s="40"/>
      <c r="AV2" s="40"/>
      <c r="AW2" s="40"/>
      <c r="AX2" s="40"/>
      <c r="AY2" s="40"/>
      <c r="AZ2" s="40"/>
      <c r="BA2" s="40"/>
      <c r="BB2" s="40"/>
      <c r="BC2" s="40"/>
      <c r="BD2" s="40"/>
      <c r="BE2" s="40"/>
      <c r="BF2" s="40"/>
      <c r="BG2" s="40"/>
      <c r="BH2" s="40"/>
      <c r="BI2" s="40"/>
    </row>
    <row r="3" spans="1:61" x14ac:dyDescent="0.25">
      <c r="B3" s="21"/>
      <c r="D3" s="1"/>
      <c r="E3" s="1"/>
      <c r="F3" s="229"/>
      <c r="G3" s="470" t="s">
        <v>801</v>
      </c>
      <c r="H3" s="471"/>
      <c r="I3" s="471"/>
      <c r="J3" s="471"/>
      <c r="K3" s="233">
        <f t="shared" ref="K3:AD3" si="1">SUM(AP10:AP176)</f>
        <v>0</v>
      </c>
      <c r="L3" s="233">
        <f t="shared" si="1"/>
        <v>0</v>
      </c>
      <c r="M3" s="233">
        <f t="shared" si="1"/>
        <v>0</v>
      </c>
      <c r="N3" s="233">
        <f t="shared" si="1"/>
        <v>0</v>
      </c>
      <c r="O3" s="233">
        <f t="shared" si="1"/>
        <v>0</v>
      </c>
      <c r="P3" s="233">
        <f t="shared" si="1"/>
        <v>0</v>
      </c>
      <c r="Q3" s="233">
        <f t="shared" si="1"/>
        <v>0</v>
      </c>
      <c r="R3" s="233">
        <f t="shared" si="1"/>
        <v>0</v>
      </c>
      <c r="S3" s="233">
        <f t="shared" si="1"/>
        <v>0</v>
      </c>
      <c r="T3" s="233">
        <f t="shared" si="1"/>
        <v>0</v>
      </c>
      <c r="U3" s="233">
        <f t="shared" si="1"/>
        <v>0</v>
      </c>
      <c r="V3" s="233">
        <f t="shared" si="1"/>
        <v>0</v>
      </c>
      <c r="W3" s="233">
        <f t="shared" si="1"/>
        <v>0</v>
      </c>
      <c r="X3" s="233">
        <f t="shared" si="1"/>
        <v>0</v>
      </c>
      <c r="Y3" s="233">
        <f t="shared" si="1"/>
        <v>0</v>
      </c>
      <c r="Z3" s="233">
        <f t="shared" si="1"/>
        <v>0</v>
      </c>
      <c r="AA3" s="233">
        <f t="shared" si="1"/>
        <v>0</v>
      </c>
      <c r="AB3" s="233">
        <f t="shared" si="1"/>
        <v>0</v>
      </c>
      <c r="AC3" s="233">
        <f t="shared" si="1"/>
        <v>0</v>
      </c>
      <c r="AD3" s="234">
        <f t="shared" si="1"/>
        <v>0</v>
      </c>
      <c r="AL3" s="22"/>
      <c r="AP3" s="50"/>
      <c r="AQ3" s="50"/>
      <c r="AR3" s="50"/>
      <c r="AS3" s="50"/>
      <c r="AT3" s="50"/>
      <c r="AU3" s="50"/>
      <c r="AV3" s="50"/>
      <c r="AW3" s="50"/>
      <c r="AX3" s="50"/>
      <c r="AY3" s="50"/>
      <c r="AZ3" s="50"/>
      <c r="BA3" s="50"/>
      <c r="BB3" s="50"/>
      <c r="BC3" s="50"/>
      <c r="BD3" s="50"/>
      <c r="BE3" s="50"/>
      <c r="BF3" s="50"/>
      <c r="BG3" s="50"/>
      <c r="BH3" s="50"/>
      <c r="BI3" s="50"/>
    </row>
    <row r="4" spans="1:61" x14ac:dyDescent="0.25">
      <c r="B4" s="21"/>
      <c r="D4" s="1"/>
      <c r="E4" s="1"/>
      <c r="G4" s="470" t="s">
        <v>802</v>
      </c>
      <c r="H4" s="471"/>
      <c r="I4" s="471"/>
      <c r="J4" s="471"/>
      <c r="K4" s="67">
        <f>SUM(AP177:AP210)</f>
        <v>0</v>
      </c>
      <c r="L4" s="67">
        <f t="shared" ref="L4:AD4" si="2">SUM(AQ177:AQ210)</f>
        <v>0</v>
      </c>
      <c r="M4" s="67">
        <f t="shared" si="2"/>
        <v>0</v>
      </c>
      <c r="N4" s="67">
        <f t="shared" si="2"/>
        <v>0</v>
      </c>
      <c r="O4" s="67">
        <f t="shared" si="2"/>
        <v>0</v>
      </c>
      <c r="P4" s="67">
        <f t="shared" si="2"/>
        <v>0</v>
      </c>
      <c r="Q4" s="67">
        <f t="shared" si="2"/>
        <v>0</v>
      </c>
      <c r="R4" s="67">
        <f t="shared" si="2"/>
        <v>0</v>
      </c>
      <c r="S4" s="67">
        <f t="shared" si="2"/>
        <v>0</v>
      </c>
      <c r="T4" s="67">
        <f t="shared" si="2"/>
        <v>0</v>
      </c>
      <c r="U4" s="67">
        <f t="shared" si="2"/>
        <v>0</v>
      </c>
      <c r="V4" s="67">
        <f t="shared" si="2"/>
        <v>0</v>
      </c>
      <c r="W4" s="67">
        <f t="shared" si="2"/>
        <v>0</v>
      </c>
      <c r="X4" s="67">
        <f t="shared" si="2"/>
        <v>0</v>
      </c>
      <c r="Y4" s="67">
        <f t="shared" si="2"/>
        <v>0</v>
      </c>
      <c r="Z4" s="67">
        <f t="shared" si="2"/>
        <v>0</v>
      </c>
      <c r="AA4" s="67">
        <f t="shared" si="2"/>
        <v>0</v>
      </c>
      <c r="AB4" s="67">
        <f t="shared" si="2"/>
        <v>0</v>
      </c>
      <c r="AC4" s="67">
        <f t="shared" si="2"/>
        <v>0</v>
      </c>
      <c r="AD4" s="232">
        <f t="shared" si="2"/>
        <v>0</v>
      </c>
      <c r="AL4" s="22"/>
      <c r="AP4" s="50"/>
      <c r="AQ4" s="50"/>
      <c r="AR4" s="50"/>
      <c r="AS4" s="50"/>
      <c r="AT4" s="50"/>
      <c r="AU4" s="50"/>
      <c r="AV4" s="50"/>
      <c r="AW4" s="50"/>
      <c r="AX4" s="50"/>
      <c r="AY4" s="50"/>
      <c r="AZ4" s="50"/>
      <c r="BA4" s="50"/>
      <c r="BB4" s="50"/>
      <c r="BC4" s="50"/>
      <c r="BD4" s="50"/>
      <c r="BE4" s="50"/>
      <c r="BF4" s="50"/>
      <c r="BG4" s="50"/>
      <c r="BH4" s="50"/>
      <c r="BI4" s="50"/>
    </row>
    <row r="5" spans="1:61" x14ac:dyDescent="0.25">
      <c r="B5" s="21"/>
      <c r="D5" s="1"/>
      <c r="E5" s="1"/>
      <c r="G5" s="470" t="s">
        <v>803</v>
      </c>
      <c r="H5" s="471"/>
      <c r="I5" s="471"/>
      <c r="J5" s="471"/>
      <c r="K5" s="67">
        <f>MAX(SUMIFS(Main!$Q$6:$Q$23,Main!$P$6:$P$23,'Skill Workbook'!K9,Main!$Q$6:$Q$23,"&gt;0")-10,0)+(SUMIFS(Main!$Q$6:$Q$23,Main!$P$6:$P$23,'Skill Workbook'!K9,Main!$Q$6:$Q$23,"&lt;0"))</f>
        <v>0</v>
      </c>
      <c r="L5" s="67">
        <f>MAX(SUMIFS(Main!$Q$6:$Q$23,Main!$P$6:$P$23,'Skill Workbook'!L9,Main!$Q$6:$Q$23,"&gt;0"),0)+(SUMIFS(Main!$Q$6:$Q$23,Main!$P$6:$P$23,'Skill Workbook'!L9,Main!$Q$6:$Q$23,"&lt;0"))</f>
        <v>0</v>
      </c>
      <c r="M5" s="67">
        <f>MAX(SUMIFS(Main!$Q$6:$Q$23,Main!$P$6:$P$23,'Skill Workbook'!M9,Main!$Q$6:$Q$23,"&gt;0"),0)+(SUMIFS(Main!$Q$6:$Q$23,Main!$P$6:$P$23,'Skill Workbook'!M9,Main!$Q$6:$Q$23,"&lt;0"))</f>
        <v>0</v>
      </c>
      <c r="N5" s="67">
        <f>MAX(SUMIFS(Main!$Q$6:$Q$23,Main!$P$6:$P$23,'Skill Workbook'!N9,Main!$Q$6:$Q$23,"&gt;0"),0)+(SUMIFS(Main!$Q$6:$Q$23,Main!$P$6:$P$23,'Skill Workbook'!N9,Main!$Q$6:$Q$23,"&lt;0"))</f>
        <v>0</v>
      </c>
      <c r="O5" s="67">
        <f>MAX(SUMIFS(Main!$Q$6:$Q$23,Main!$P$6:$P$23,'Skill Workbook'!O9,Main!$Q$6:$Q$23,"&gt;0"),0)+(SUMIFS(Main!$Q$6:$Q$23,Main!$P$6:$P$23,'Skill Workbook'!O9,Main!$Q$6:$Q$23,"&lt;0"))</f>
        <v>0</v>
      </c>
      <c r="P5" s="67">
        <f>MAX(SUMIFS(Main!$Q$6:$Q$23,Main!$P$6:$P$23,'Skill Workbook'!P9,Main!$Q$6:$Q$23,"&gt;0"),0)+(SUMIFS(Main!$Q$6:$Q$23,Main!$P$6:$P$23,'Skill Workbook'!P9,Main!$Q$6:$Q$23,"&lt;0"))</f>
        <v>0</v>
      </c>
      <c r="Q5" s="67">
        <f>MAX(SUMIFS(Main!$Q$6:$Q$23,Main!$P$6:$P$23,'Skill Workbook'!Q9,Main!$Q$6:$Q$23,"&gt;0"),0)+(SUMIFS(Main!$Q$6:$Q$23,Main!$P$6:$P$23,'Skill Workbook'!Q9,Main!$Q$6:$Q$23,"&lt;0"))</f>
        <v>0</v>
      </c>
      <c r="R5" s="67">
        <f>MAX(SUMIFS(Main!$Q$6:$Q$23,Main!$P$6:$P$23,'Skill Workbook'!R9,Main!$Q$6:$Q$23,"&gt;0"),0)+(SUMIFS(Main!$Q$6:$Q$23,Main!$P$6:$P$23,'Skill Workbook'!R9,Main!$Q$6:$Q$23,"&lt;0"))</f>
        <v>0</v>
      </c>
      <c r="S5" s="67">
        <f>MAX(SUMIFS(Main!$Q$6:$Q$23,Main!$P$6:$P$23,'Skill Workbook'!S9,Main!$Q$6:$Q$23,"&gt;0"),0)+(SUMIFS(Main!$Q$6:$Q$23,Main!$P$6:$P$23,'Skill Workbook'!S9,Main!$Q$6:$Q$23,"&lt;0"))</f>
        <v>0</v>
      </c>
      <c r="T5" s="67">
        <f>MAX(SUMIFS(Main!$Q$6:$Q$23,Main!$P$6:$P$23,'Skill Workbook'!T9,Main!$Q$6:$Q$23,"&gt;0"),0)+(SUMIFS(Main!$Q$6:$Q$23,Main!$P$6:$P$23,'Skill Workbook'!T9,Main!$Q$6:$Q$23,"&lt;0"))</f>
        <v>0</v>
      </c>
      <c r="U5" s="67">
        <f>MAX(SUMIFS(Main!$Q$6:$Q$23,Main!$P$6:$P$23,'Skill Workbook'!U9,Main!$Q$6:$Q$23,"&gt;0"),0)+(SUMIFS(Main!$Q$6:$Q$23,Main!$P$6:$P$23,'Skill Workbook'!U9,Main!$Q$6:$Q$23,"&lt;0"))</f>
        <v>0</v>
      </c>
      <c r="V5" s="67">
        <f>MAX(SUMIFS(Main!$Q$6:$Q$23,Main!$P$6:$P$23,'Skill Workbook'!V9,Main!$Q$6:$Q$23,"&gt;0"),0)+(SUMIFS(Main!$Q$6:$Q$23,Main!$P$6:$P$23,'Skill Workbook'!V9,Main!$Q$6:$Q$23,"&lt;0"))</f>
        <v>0</v>
      </c>
      <c r="W5" s="67">
        <f>MAX(SUMIFS(Main!$Q$6:$Q$23,Main!$P$6:$P$23,'Skill Workbook'!W9,Main!$Q$6:$Q$23,"&gt;0"),0)+(SUMIFS(Main!$Q$6:$Q$23,Main!$P$6:$P$23,'Skill Workbook'!W9,Main!$Q$6:$Q$23,"&lt;0"))</f>
        <v>0</v>
      </c>
      <c r="X5" s="67">
        <f>MAX(SUMIFS(Main!$Q$6:$Q$23,Main!$P$6:$P$23,'Skill Workbook'!X9,Main!$Q$6:$Q$23,"&gt;0"),0)+(SUMIFS(Main!$Q$6:$Q$23,Main!$P$6:$P$23,'Skill Workbook'!X9,Main!$Q$6:$Q$23,"&lt;0"))</f>
        <v>0</v>
      </c>
      <c r="Y5" s="67">
        <f>MAX(SUMIFS(Main!$Q$6:$Q$23,Main!$P$6:$P$23,'Skill Workbook'!Y9,Main!$Q$6:$Q$23,"&gt;0"),0)+(SUMIFS(Main!$Q$6:$Q$23,Main!$P$6:$P$23,'Skill Workbook'!Y9,Main!$Q$6:$Q$23,"&lt;0"))</f>
        <v>0</v>
      </c>
      <c r="Z5" s="67">
        <f>MAX(SUMIFS(Main!$Q$6:$Q$23,Main!$P$6:$P$23,'Skill Workbook'!Z9,Main!$Q$6:$Q$23,"&gt;0"),0)+(SUMIFS(Main!$Q$6:$Q$23,Main!$P$6:$P$23,'Skill Workbook'!Z9,Main!$Q$6:$Q$23,"&lt;0"))</f>
        <v>0</v>
      </c>
      <c r="AA5" s="67">
        <f>MAX(SUMIFS(Main!$Q$6:$Q$23,Main!$P$6:$P$23,'Skill Workbook'!AA9,Main!$Q$6:$Q$23,"&gt;0"),0)+(SUMIFS(Main!$Q$6:$Q$23,Main!$P$6:$P$23,'Skill Workbook'!AA9,Main!$Q$6:$Q$23,"&lt;0"))</f>
        <v>0</v>
      </c>
      <c r="AB5" s="67">
        <f>MAX(SUMIFS(Main!$Q$6:$Q$23,Main!$P$6:$P$23,'Skill Workbook'!AB9,Main!$Q$6:$Q$23,"&gt;0"),0)+(SUMIFS(Main!$Q$6:$Q$23,Main!$P$6:$P$23,'Skill Workbook'!AB9,Main!$Q$6:$Q$23,"&lt;0"))</f>
        <v>0</v>
      </c>
      <c r="AC5" s="67">
        <f>MAX(SUMIFS(Main!$Q$6:$Q$23,Main!$P$6:$P$23,'Skill Workbook'!AC9,Main!$Q$6:$Q$23,"&gt;0"),0)+(SUMIFS(Main!$Q$6:$Q$23,Main!$P$6:$P$23,'Skill Workbook'!AC9,Main!$Q$6:$Q$23,"&lt;0"))</f>
        <v>0</v>
      </c>
      <c r="AD5" s="232">
        <f>MAX(SUMIFS(Main!$Q$6:$Q$23,Main!$P$6:$P$23,'Skill Workbook'!AD9,Main!$Q$6:$Q$23,"&gt;0"),0)+(SUMIFS(Main!$Q$6:$Q$23,Main!$P$6:$P$23,'Skill Workbook'!AD9,Main!$Q$6:$Q$23,"&lt;0"))</f>
        <v>0</v>
      </c>
      <c r="AL5" s="22"/>
      <c r="AP5" s="50"/>
      <c r="AQ5" s="50"/>
      <c r="AR5" s="50"/>
      <c r="AS5" s="50"/>
      <c r="AT5" s="50"/>
      <c r="AU5" s="50"/>
      <c r="AV5" s="50"/>
      <c r="AW5" s="50"/>
      <c r="AX5" s="50"/>
      <c r="AY5" s="50"/>
      <c r="AZ5" s="50"/>
      <c r="BA5" s="50"/>
      <c r="BB5" s="50"/>
      <c r="BC5" s="50"/>
      <c r="BD5" s="50"/>
      <c r="BE5" s="50"/>
      <c r="BF5" s="50"/>
      <c r="BG5" s="50"/>
      <c r="BH5" s="50"/>
      <c r="BI5" s="50"/>
    </row>
    <row r="6" spans="1:61" ht="15.75" thickBot="1" x14ac:dyDescent="0.3">
      <c r="B6" s="21"/>
      <c r="D6" s="1"/>
      <c r="E6" s="1"/>
      <c r="G6" s="479" t="s">
        <v>233</v>
      </c>
      <c r="H6" s="480"/>
      <c r="I6" s="480"/>
      <c r="J6" s="480"/>
      <c r="K6" s="235" t="e">
        <f t="shared" ref="K6:AD6" si="3">K2-SUM(K3:K5)</f>
        <v>#N/A</v>
      </c>
      <c r="L6" s="235" t="e">
        <f t="shared" si="3"/>
        <v>#N/A</v>
      </c>
      <c r="M6" s="235" t="e">
        <f t="shared" si="3"/>
        <v>#N/A</v>
      </c>
      <c r="N6" s="235" t="e">
        <f t="shared" si="3"/>
        <v>#N/A</v>
      </c>
      <c r="O6" s="235" t="e">
        <f t="shared" si="3"/>
        <v>#N/A</v>
      </c>
      <c r="P6" s="235" t="e">
        <f t="shared" si="3"/>
        <v>#N/A</v>
      </c>
      <c r="Q6" s="235" t="e">
        <f t="shared" si="3"/>
        <v>#N/A</v>
      </c>
      <c r="R6" s="235" t="e">
        <f t="shared" si="3"/>
        <v>#N/A</v>
      </c>
      <c r="S6" s="235" t="e">
        <f t="shared" si="3"/>
        <v>#N/A</v>
      </c>
      <c r="T6" s="235" t="e">
        <f t="shared" si="3"/>
        <v>#N/A</v>
      </c>
      <c r="U6" s="235" t="e">
        <f t="shared" si="3"/>
        <v>#N/A</v>
      </c>
      <c r="V6" s="235" t="e">
        <f t="shared" si="3"/>
        <v>#N/A</v>
      </c>
      <c r="W6" s="235" t="e">
        <f t="shared" si="3"/>
        <v>#N/A</v>
      </c>
      <c r="X6" s="235" t="e">
        <f t="shared" si="3"/>
        <v>#N/A</v>
      </c>
      <c r="Y6" s="235" t="e">
        <f t="shared" si="3"/>
        <v>#N/A</v>
      </c>
      <c r="Z6" s="235" t="e">
        <f t="shared" si="3"/>
        <v>#N/A</v>
      </c>
      <c r="AA6" s="235" t="e">
        <f t="shared" si="3"/>
        <v>#N/A</v>
      </c>
      <c r="AB6" s="235" t="e">
        <f t="shared" si="3"/>
        <v>#N/A</v>
      </c>
      <c r="AC6" s="235" t="e">
        <f t="shared" si="3"/>
        <v>#N/A</v>
      </c>
      <c r="AD6" s="236" t="e">
        <f t="shared" si="3"/>
        <v>#N/A</v>
      </c>
      <c r="AL6" s="22"/>
      <c r="AP6" s="50"/>
      <c r="AQ6" s="50"/>
      <c r="AR6" s="50"/>
      <c r="AS6" s="50"/>
      <c r="AT6" s="50"/>
      <c r="AU6" s="50"/>
      <c r="AV6" s="50"/>
      <c r="AW6" s="50"/>
      <c r="AX6" s="50"/>
      <c r="AY6" s="50"/>
      <c r="AZ6" s="50"/>
      <c r="BA6" s="50"/>
      <c r="BB6" s="50"/>
      <c r="BC6" s="50"/>
      <c r="BD6" s="50"/>
      <c r="BE6" s="50"/>
      <c r="BF6" s="50"/>
      <c r="BG6" s="50"/>
      <c r="BH6" s="50"/>
      <c r="BI6" s="50"/>
    </row>
    <row r="7" spans="1:61" x14ac:dyDescent="0.25">
      <c r="B7" s="21"/>
      <c r="D7" s="1"/>
      <c r="E7" s="1"/>
      <c r="G7" s="136"/>
      <c r="H7" s="136"/>
      <c r="I7" s="136"/>
      <c r="J7" s="136"/>
      <c r="K7" s="67"/>
      <c r="L7" s="43"/>
      <c r="M7" s="43"/>
      <c r="N7" s="43"/>
      <c r="O7" s="43"/>
      <c r="P7" s="43"/>
      <c r="Q7" s="43"/>
      <c r="R7" s="43"/>
      <c r="S7" s="43"/>
      <c r="T7" s="43"/>
      <c r="U7" s="43"/>
      <c r="V7" s="43"/>
      <c r="W7" s="43"/>
      <c r="X7" s="43"/>
      <c r="Y7" s="43"/>
      <c r="Z7" s="43"/>
      <c r="AA7" s="43"/>
      <c r="AB7" s="43"/>
      <c r="AC7" s="43"/>
      <c r="AD7" s="43"/>
      <c r="AL7" s="22"/>
      <c r="AP7" s="50"/>
      <c r="AQ7" s="50"/>
      <c r="AR7" s="50"/>
      <c r="AS7" s="50"/>
      <c r="AT7" s="50"/>
      <c r="AU7" s="50"/>
      <c r="AV7" s="50"/>
      <c r="AW7" s="50"/>
      <c r="AX7" s="50"/>
      <c r="AY7" s="50"/>
      <c r="AZ7" s="50"/>
      <c r="BA7" s="50"/>
      <c r="BB7" s="50"/>
      <c r="BC7" s="50"/>
      <c r="BD7" s="50"/>
      <c r="BE7" s="50"/>
      <c r="BF7" s="50"/>
      <c r="BG7" s="50"/>
      <c r="BH7" s="50"/>
      <c r="BI7" s="50"/>
    </row>
    <row r="8" spans="1:61" ht="18.75" x14ac:dyDescent="0.3">
      <c r="B8" s="9"/>
      <c r="C8" s="39"/>
      <c r="D8" s="74"/>
      <c r="E8" s="74"/>
      <c r="F8" s="39"/>
      <c r="G8" s="475" t="s">
        <v>779</v>
      </c>
      <c r="H8" s="476"/>
      <c r="I8" s="190"/>
      <c r="J8" s="190"/>
      <c r="K8" s="50"/>
      <c r="L8" s="40"/>
      <c r="M8" s="40"/>
      <c r="N8" s="40"/>
      <c r="O8" s="40"/>
      <c r="P8" s="40"/>
      <c r="Q8" s="40"/>
      <c r="R8" s="40"/>
      <c r="S8" s="40"/>
      <c r="T8" s="40"/>
      <c r="U8" s="40"/>
      <c r="V8" s="40"/>
      <c r="W8" s="40"/>
      <c r="X8" s="40"/>
      <c r="Y8" s="40"/>
      <c r="Z8" s="40"/>
      <c r="AA8" s="40"/>
      <c r="AB8" s="40"/>
      <c r="AC8" s="40"/>
      <c r="AD8" s="40"/>
      <c r="AE8" s="39"/>
      <c r="AF8" s="39"/>
      <c r="AG8" s="39"/>
      <c r="AH8" s="39"/>
      <c r="AI8" s="39"/>
      <c r="AJ8" s="39"/>
      <c r="AK8" s="39"/>
      <c r="AL8" s="191"/>
      <c r="AP8" s="50"/>
      <c r="AQ8" s="50"/>
      <c r="AR8" s="50"/>
      <c r="AS8" s="50"/>
      <c r="AT8" s="50"/>
      <c r="AU8" s="50"/>
      <c r="AV8" s="50"/>
      <c r="AW8" s="50"/>
      <c r="AX8" s="50"/>
      <c r="AY8" s="50"/>
      <c r="AZ8" s="50"/>
      <c r="BA8" s="50"/>
      <c r="BB8" s="50"/>
      <c r="BC8" s="50"/>
      <c r="BD8" s="50"/>
      <c r="BE8" s="50"/>
      <c r="BF8" s="50"/>
      <c r="BG8" s="50"/>
      <c r="BH8" s="50"/>
      <c r="BI8" s="50"/>
    </row>
    <row r="9" spans="1:61" ht="15" customHeight="1" thickBot="1" x14ac:dyDescent="0.3">
      <c r="B9" s="118" t="s">
        <v>73</v>
      </c>
      <c r="C9" s="119" t="s">
        <v>79</v>
      </c>
      <c r="D9" s="122" t="s">
        <v>800</v>
      </c>
      <c r="E9" s="120" t="s">
        <v>77</v>
      </c>
      <c r="F9" s="121" t="s">
        <v>74</v>
      </c>
      <c r="G9" s="192" t="s">
        <v>780</v>
      </c>
      <c r="H9" s="193" t="s">
        <v>781</v>
      </c>
      <c r="I9" s="119" t="s">
        <v>75</v>
      </c>
      <c r="J9" s="119" t="s">
        <v>8</v>
      </c>
      <c r="K9" s="119">
        <v>1</v>
      </c>
      <c r="L9" s="119">
        <v>2</v>
      </c>
      <c r="M9" s="119">
        <v>3</v>
      </c>
      <c r="N9" s="119">
        <v>4</v>
      </c>
      <c r="O9" s="119">
        <v>5</v>
      </c>
      <c r="P9" s="119">
        <v>6</v>
      </c>
      <c r="Q9" s="119">
        <v>7</v>
      </c>
      <c r="R9" s="119">
        <v>8</v>
      </c>
      <c r="S9" s="119">
        <v>9</v>
      </c>
      <c r="T9" s="119">
        <v>10</v>
      </c>
      <c r="U9" s="119">
        <v>11</v>
      </c>
      <c r="V9" s="119">
        <v>12</v>
      </c>
      <c r="W9" s="119">
        <v>13</v>
      </c>
      <c r="X9" s="119">
        <v>14</v>
      </c>
      <c r="Y9" s="119">
        <v>15</v>
      </c>
      <c r="Z9" s="119">
        <v>16</v>
      </c>
      <c r="AA9" s="119">
        <v>17</v>
      </c>
      <c r="AB9" s="119">
        <v>18</v>
      </c>
      <c r="AC9" s="119">
        <v>19</v>
      </c>
      <c r="AD9" s="119">
        <v>20</v>
      </c>
      <c r="AE9" s="122" t="s">
        <v>76</v>
      </c>
      <c r="AF9" s="226" t="s">
        <v>84</v>
      </c>
      <c r="AG9" s="122" t="s">
        <v>15</v>
      </c>
      <c r="AH9" s="122" t="s">
        <v>800</v>
      </c>
      <c r="AI9" s="122" t="s">
        <v>77</v>
      </c>
      <c r="AJ9" s="119" t="s">
        <v>30</v>
      </c>
      <c r="AK9" s="212" t="s">
        <v>389</v>
      </c>
      <c r="AL9" s="123" t="s">
        <v>29</v>
      </c>
      <c r="AP9" s="41">
        <v>1</v>
      </c>
      <c r="AQ9" s="41">
        <v>2</v>
      </c>
      <c r="AR9" s="41">
        <v>3</v>
      </c>
      <c r="AS9" s="41">
        <v>4</v>
      </c>
      <c r="AT9" s="41">
        <v>5</v>
      </c>
      <c r="AU9" s="41">
        <v>6</v>
      </c>
      <c r="AV9" s="41">
        <v>7</v>
      </c>
      <c r="AW9" s="41">
        <v>8</v>
      </c>
      <c r="AX9" s="41">
        <v>9</v>
      </c>
      <c r="AY9" s="41">
        <v>10</v>
      </c>
      <c r="AZ9" s="41">
        <v>11</v>
      </c>
      <c r="BA9" s="41">
        <v>12</v>
      </c>
      <c r="BB9" s="41">
        <v>13</v>
      </c>
      <c r="BC9" s="41">
        <v>14</v>
      </c>
      <c r="BD9" s="41">
        <v>15</v>
      </c>
      <c r="BE9" s="41">
        <v>16</v>
      </c>
      <c r="BF9" s="41">
        <v>17</v>
      </c>
      <c r="BG9" s="41">
        <v>18</v>
      </c>
      <c r="BH9" s="41">
        <v>19</v>
      </c>
      <c r="BI9" s="41">
        <v>20</v>
      </c>
    </row>
    <row r="10" spans="1:61" ht="15.75" thickTop="1" x14ac:dyDescent="0.25">
      <c r="A10" s="477" t="s">
        <v>409</v>
      </c>
      <c r="B10" s="21" t="s">
        <v>80</v>
      </c>
      <c r="C10" s="1" t="str">
        <f t="shared" ref="C10:C58" si="4">HLOOKUP(B10,Table_Profession_Skills,VLOOKUP(Profession,Table_Profession,2,FALSE)+1,FALSE)</f>
        <v>2/4</v>
      </c>
      <c r="D10" s="1" t="str">
        <f>IF(IF((COUNTIF(Professional_Skill_Options,'Skill Workbook'!F10)&gt;0),INDEX(Professional_Skill_Choices,MATCH(F10,Professional_Skill_Options,0)),FALSE),"X","")</f>
        <v/>
      </c>
      <c r="E10" s="1" t="str">
        <f>IF(IF((COUNTIF(Professional_Skill_Options,'Skill Workbook'!F10)&gt;0),INDEX(Professional_Skill_Knacks,MATCH(F10,Professional_Skill_Options,0)),FALSE),"X","")</f>
        <v/>
      </c>
      <c r="F10" t="s">
        <v>81</v>
      </c>
      <c r="G10" s="194" t="str">
        <f>'Base Details'!O101</f>
        <v>Speciality 1</v>
      </c>
      <c r="H10" s="195"/>
      <c r="I10" s="44" t="s">
        <v>83</v>
      </c>
      <c r="J10" s="1">
        <f>'Base Details'!J101</f>
        <v>0</v>
      </c>
      <c r="AE10" s="1">
        <f>SUM(K10:INDEX(K10:AD10,Level))+J10-IF(H10="",0,1)</f>
        <v>0</v>
      </c>
      <c r="AF10" s="26">
        <f t="shared" ref="AF10:AF74" si="5">IF(AE10&gt;30,100+AE10,VLOOKUP(AE10,Rank_Bonus,2,FALSE))</f>
        <v>-25</v>
      </c>
      <c r="AG10" s="26" t="e" cm="1">
        <f t="array" aca="1" ref="AG10" ca="1">IF(I10="NA",0,INDIRECT(LEFT(I10,2))+INDIRECT(MID(I10,4,2))+INDIRECT(RIGHT(I10,2)))</f>
        <v>#N/A</v>
      </c>
      <c r="AH10" s="26">
        <f>IF(D10="X",MIN(30,AE10),0)</f>
        <v>0</v>
      </c>
      <c r="AI10" s="26">
        <f>IF(E10="X",5,0)</f>
        <v>0</v>
      </c>
      <c r="AJ10" s="26"/>
      <c r="AK10" s="26" t="e">
        <f t="shared" ref="AK10:AK73" ca="1" si="6">ROUND(IF(H10="",AL10,IF((ROUNDDOWN(AE10*1.5,0))&gt;30,100+(ROUNDDOWN(AE10*1.5,0)),VLOOKUP((ROUNDDOWN(AE10*1.5,0)),Rank_Bonus,2,FALSE))+SUM(AG10:AJ10)),0)</f>
        <v>#N/A</v>
      </c>
      <c r="AL10" s="32" t="e">
        <f ca="1">ROUND(SUM(AF10:AJ10),0)</f>
        <v>#N/A</v>
      </c>
      <c r="AP10" s="42">
        <f t="shared" ref="AP10:AP74" si="7">_xlfn.NUMBERVALUE(IF(K10=0,0,IF(K10=1,LEFT($C10,FIND("/",$C10)-1),SUM(LEFT($C10,FIND("/",$C10)-1),RIGHT($C10,LEN($C10)-FIND("/",$C10))))))</f>
        <v>0</v>
      </c>
      <c r="AQ10" s="42">
        <f t="shared" ref="AQ10:AQ74" si="8">_xlfn.NUMBERVALUE(IF(L10=0,0,IF(L10=1,LEFT($C10,FIND("/",$C10)-1),SUM(LEFT($C10,FIND("/",$C10)-1),RIGHT($C10,LEN($C10)-FIND("/",$C10))))))</f>
        <v>0</v>
      </c>
      <c r="AR10" s="42">
        <f t="shared" ref="AR10:AR74" si="9">_xlfn.NUMBERVALUE(IF(M10=0,0,IF(M10=1,LEFT($C10,FIND("/",$C10)-1),SUM(LEFT($C10,FIND("/",$C10)-1),RIGHT($C10,LEN($C10)-FIND("/",$C10))))))</f>
        <v>0</v>
      </c>
      <c r="AS10" s="42">
        <f t="shared" ref="AS10:AS74" si="10">_xlfn.NUMBERVALUE(IF(N10=0,0,IF(N10=1,LEFT($C10,FIND("/",$C10)-1),SUM(LEFT($C10,FIND("/",$C10)-1),RIGHT($C10,LEN($C10)-FIND("/",$C10))))))</f>
        <v>0</v>
      </c>
      <c r="AT10" s="42">
        <f t="shared" ref="AT10:AT74" si="11">_xlfn.NUMBERVALUE(IF(O10=0,0,IF(O10=1,LEFT($C10,FIND("/",$C10)-1),SUM(LEFT($C10,FIND("/",$C10)-1),RIGHT($C10,LEN($C10)-FIND("/",$C10))))))</f>
        <v>0</v>
      </c>
      <c r="AU10" s="42">
        <f t="shared" ref="AU10:AU74" si="12">_xlfn.NUMBERVALUE(IF(P10=0,0,IF(P10=1,LEFT($C10,FIND("/",$C10)-1),SUM(LEFT($C10,FIND("/",$C10)-1),RIGHT($C10,LEN($C10)-FIND("/",$C10))))))</f>
        <v>0</v>
      </c>
      <c r="AV10" s="42">
        <f t="shared" ref="AV10:AV74" si="13">_xlfn.NUMBERVALUE(IF(Q10=0,0,IF(Q10=1,LEFT($C10,FIND("/",$C10)-1),SUM(LEFT($C10,FIND("/",$C10)-1),RIGHT($C10,LEN($C10)-FIND("/",$C10))))))</f>
        <v>0</v>
      </c>
      <c r="AW10" s="42">
        <f t="shared" ref="AW10:AW74" si="14">_xlfn.NUMBERVALUE(IF(R10=0,0,IF(R10=1,LEFT($C10,FIND("/",$C10)-1),SUM(LEFT($C10,FIND("/",$C10)-1),RIGHT($C10,LEN($C10)-FIND("/",$C10))))))</f>
        <v>0</v>
      </c>
      <c r="AX10" s="42">
        <f t="shared" ref="AX10:AX74" si="15">_xlfn.NUMBERVALUE(IF(S10=0,0,IF(S10=1,LEFT($C10,FIND("/",$C10)-1),SUM(LEFT($C10,FIND("/",$C10)-1),RIGHT($C10,LEN($C10)-FIND("/",$C10))))))</f>
        <v>0</v>
      </c>
      <c r="AY10" s="42">
        <f t="shared" ref="AY10:AY74" si="16">_xlfn.NUMBERVALUE(IF(T10=0,0,IF(T10=1,LEFT($C10,FIND("/",$C10)-1),SUM(LEFT($C10,FIND("/",$C10)-1),RIGHT($C10,LEN($C10)-FIND("/",$C10))))))</f>
        <v>0</v>
      </c>
      <c r="AZ10" s="42">
        <f t="shared" ref="AZ10:AZ74" si="17">_xlfn.NUMBERVALUE(IF(U10=0,0,IF(U10=1,LEFT($C10,FIND("/",$C10)-1),SUM(LEFT($C10,FIND("/",$C10)-1),RIGHT($C10,LEN($C10)-FIND("/",$C10))))))</f>
        <v>0</v>
      </c>
      <c r="BA10" s="42">
        <f t="shared" ref="BA10:BA74" si="18">_xlfn.NUMBERVALUE(IF(V10=0,0,IF(V10=1,LEFT($C10,FIND("/",$C10)-1),SUM(LEFT($C10,FIND("/",$C10)-1),RIGHT($C10,LEN($C10)-FIND("/",$C10))))))</f>
        <v>0</v>
      </c>
      <c r="BB10" s="42">
        <f t="shared" ref="BB10:BB74" si="19">_xlfn.NUMBERVALUE(IF(W10=0,0,IF(W10=1,LEFT($C10,FIND("/",$C10)-1),SUM(LEFT($C10,FIND("/",$C10)-1),RIGHT($C10,LEN($C10)-FIND("/",$C10))))))</f>
        <v>0</v>
      </c>
      <c r="BC10" s="42">
        <f t="shared" ref="BC10:BC74" si="20">_xlfn.NUMBERVALUE(IF(X10=0,0,IF(X10=1,LEFT($C10,FIND("/",$C10)-1),SUM(LEFT($C10,FIND("/",$C10)-1),RIGHT($C10,LEN($C10)-FIND("/",$C10))))))</f>
        <v>0</v>
      </c>
      <c r="BD10" s="42">
        <f t="shared" ref="BD10:BD74" si="21">_xlfn.NUMBERVALUE(IF(Y10=0,0,IF(Y10=1,LEFT($C10,FIND("/",$C10)-1),SUM(LEFT($C10,FIND("/",$C10)-1),RIGHT($C10,LEN($C10)-FIND("/",$C10))))))</f>
        <v>0</v>
      </c>
      <c r="BE10" s="42">
        <f t="shared" ref="BE10:BE74" si="22">_xlfn.NUMBERVALUE(IF(Z10=0,0,IF(Z10=1,LEFT($C10,FIND("/",$C10)-1),SUM(LEFT($C10,FIND("/",$C10)-1),RIGHT($C10,LEN($C10)-FIND("/",$C10))))))</f>
        <v>0</v>
      </c>
      <c r="BF10" s="42">
        <f t="shared" ref="BF10:BF74" si="23">_xlfn.NUMBERVALUE(IF(AA10=0,0,IF(AA10=1,LEFT($C10,FIND("/",$C10)-1),SUM(LEFT($C10,FIND("/",$C10)-1),RIGHT($C10,LEN($C10)-FIND("/",$C10))))))</f>
        <v>0</v>
      </c>
      <c r="BG10" s="42">
        <f t="shared" ref="BG10:BG74" si="24">_xlfn.NUMBERVALUE(IF(AB10=0,0,IF(AB10=1,LEFT($C10,FIND("/",$C10)-1),SUM(LEFT($C10,FIND("/",$C10)-1),RIGHT($C10,LEN($C10)-FIND("/",$C10))))))</f>
        <v>0</v>
      </c>
      <c r="BH10" s="42">
        <f t="shared" ref="BH10:BH74" si="25">_xlfn.NUMBERVALUE(IF(AC10=0,0,IF(AC10=1,LEFT($C10,FIND("/",$C10)-1),SUM(LEFT($C10,FIND("/",$C10)-1),RIGHT($C10,LEN($C10)-FIND("/",$C10))))))</f>
        <v>0</v>
      </c>
      <c r="BI10" s="42">
        <f t="shared" ref="BI10:BI74" si="26">_xlfn.NUMBERVALUE(IF(AD10=0,0,IF(AD10=1,LEFT($C10,FIND("/",$C10)-1),SUM(LEFT($C10,FIND("/",$C10)-1),RIGHT($C10,LEN($C10)-FIND("/",$C10))))))</f>
        <v>0</v>
      </c>
    </row>
    <row r="11" spans="1:61" x14ac:dyDescent="0.25">
      <c r="A11" s="477"/>
      <c r="B11" s="21" t="s">
        <v>80</v>
      </c>
      <c r="C11" s="1" t="str">
        <f t="shared" si="4"/>
        <v>2/4</v>
      </c>
      <c r="D11" s="1" t="str">
        <f>IF(IF((COUNTIF(Professional_Skill_Options,'Skill Workbook'!F11)&gt;0),INDEX(Professional_Skill_Choices,MATCH(F11,Professional_Skill_Options,0)),FALSE),"X","")</f>
        <v/>
      </c>
      <c r="E11" s="1" t="str">
        <f>IF(IF((COUNTIF(Professional_Skill_Options,'Skill Workbook'!F11)&gt;0),INDEX(Professional_Skill_Knacks,MATCH(F11,Professional_Skill_Options,0)),FALSE),"X","")</f>
        <v/>
      </c>
      <c r="F11" t="s">
        <v>81</v>
      </c>
      <c r="G11" s="194" t="str">
        <f>'Base Details'!O102</f>
        <v>Speciality 2</v>
      </c>
      <c r="H11" s="195"/>
      <c r="I11" s="1" t="s">
        <v>83</v>
      </c>
      <c r="J11" s="1">
        <f>'Base Details'!J102</f>
        <v>0</v>
      </c>
      <c r="AE11" s="1">
        <f>SUM(K11:INDEX(K11:AD11,Level))+J11-IF(H11="",0,1)</f>
        <v>0</v>
      </c>
      <c r="AF11" s="26">
        <f t="shared" si="5"/>
        <v>-25</v>
      </c>
      <c r="AG11" s="26" t="e" cm="1">
        <f t="array" aca="1" ref="AG11" ca="1">IF(I11="NA",0,INDIRECT(LEFT(I11,2))+INDIRECT(MID(I11,4,2))+INDIRECT(RIGHT(I11,2)))</f>
        <v>#N/A</v>
      </c>
      <c r="AH11" s="26">
        <f t="shared" ref="AH11:AH111" si="27">IF(D11="X",MIN(30,AE11),0)</f>
        <v>0</v>
      </c>
      <c r="AI11" s="26">
        <f t="shared" ref="AI11:AI111" si="28">IF(E11="X",5,0)</f>
        <v>0</v>
      </c>
      <c r="AJ11" s="26"/>
      <c r="AK11" s="26" t="e">
        <f t="shared" ca="1" si="6"/>
        <v>#N/A</v>
      </c>
      <c r="AL11" s="32" t="e">
        <f t="shared" ref="AL11:AL98" ca="1" si="29">ROUND(SUM(AF11:AJ11),0)</f>
        <v>#N/A</v>
      </c>
      <c r="AP11" s="42">
        <f t="shared" si="7"/>
        <v>0</v>
      </c>
      <c r="AQ11" s="42">
        <f t="shared" si="8"/>
        <v>0</v>
      </c>
      <c r="AR11" s="42">
        <f t="shared" si="9"/>
        <v>0</v>
      </c>
      <c r="AS11" s="42">
        <f t="shared" si="10"/>
        <v>0</v>
      </c>
      <c r="AT11" s="42">
        <f t="shared" si="11"/>
        <v>0</v>
      </c>
      <c r="AU11" s="42">
        <f t="shared" si="12"/>
        <v>0</v>
      </c>
      <c r="AV11" s="42">
        <f t="shared" si="13"/>
        <v>0</v>
      </c>
      <c r="AW11" s="42">
        <f t="shared" si="14"/>
        <v>0</v>
      </c>
      <c r="AX11" s="42">
        <f t="shared" si="15"/>
        <v>0</v>
      </c>
      <c r="AY11" s="42">
        <f t="shared" si="16"/>
        <v>0</v>
      </c>
      <c r="AZ11" s="42">
        <f t="shared" si="17"/>
        <v>0</v>
      </c>
      <c r="BA11" s="42">
        <f t="shared" si="18"/>
        <v>0</v>
      </c>
      <c r="BB11" s="42">
        <f t="shared" si="19"/>
        <v>0</v>
      </c>
      <c r="BC11" s="42">
        <f t="shared" si="20"/>
        <v>0</v>
      </c>
      <c r="BD11" s="42">
        <f t="shared" si="21"/>
        <v>0</v>
      </c>
      <c r="BE11" s="42">
        <f t="shared" si="22"/>
        <v>0</v>
      </c>
      <c r="BF11" s="42">
        <f t="shared" si="23"/>
        <v>0</v>
      </c>
      <c r="BG11" s="42">
        <f t="shared" si="24"/>
        <v>0</v>
      </c>
      <c r="BH11" s="42">
        <f t="shared" si="25"/>
        <v>0</v>
      </c>
      <c r="BI11" s="42">
        <f t="shared" si="26"/>
        <v>0</v>
      </c>
    </row>
    <row r="12" spans="1:61" x14ac:dyDescent="0.25">
      <c r="A12" s="477"/>
      <c r="B12" s="21" t="s">
        <v>80</v>
      </c>
      <c r="C12" s="1" t="str">
        <f t="shared" si="4"/>
        <v>2/4</v>
      </c>
      <c r="D12" s="1" t="str">
        <f>IF(IF((COUNTIF(Professional_Skill_Options,'Skill Workbook'!F12)&gt;0),INDEX(Professional_Skill_Choices,MATCH(F12,Professional_Skill_Options,0)),FALSE),"X","")</f>
        <v/>
      </c>
      <c r="E12" s="1" t="str">
        <f>IF(IF((COUNTIF(Professional_Skill_Options,'Skill Workbook'!F12)&gt;0),INDEX(Professional_Skill_Knacks,MATCH(F12,Professional_Skill_Options,0)),FALSE),"X","")</f>
        <v/>
      </c>
      <c r="F12" t="s">
        <v>81</v>
      </c>
      <c r="G12" s="194" t="str">
        <f>'Base Details'!O103</f>
        <v>Speciality 3</v>
      </c>
      <c r="H12" s="195"/>
      <c r="I12" s="1" t="s">
        <v>83</v>
      </c>
      <c r="J12" s="1">
        <f>'Base Details'!J103</f>
        <v>0</v>
      </c>
      <c r="AE12" s="1">
        <f>SUM(K12:INDEX(K12:AD12,Level))+J12-IF(H12="",0,1)</f>
        <v>0</v>
      </c>
      <c r="AF12" s="26">
        <f t="shared" ref="AF12" si="30">IF(AE12&gt;30,100+AE12,VLOOKUP(AE12,Rank_Bonus,2,FALSE))</f>
        <v>-25</v>
      </c>
      <c r="AG12" s="26" t="e" cm="1">
        <f t="array" aca="1" ref="AG12" ca="1">IF(I12="NA",0,INDIRECT(LEFT(I12,2))+INDIRECT(MID(I12,4,2))+INDIRECT(RIGHT(I12,2)))</f>
        <v>#N/A</v>
      </c>
      <c r="AH12" s="26">
        <f t="shared" ref="AH12" si="31">IF(D12="X",MIN(30,AE12),0)</f>
        <v>0</v>
      </c>
      <c r="AI12" s="26">
        <f t="shared" ref="AI12" si="32">IF(E12="X",5,0)</f>
        <v>0</v>
      </c>
      <c r="AJ12" s="26"/>
      <c r="AK12" s="26" t="e">
        <f t="shared" ca="1" si="6"/>
        <v>#N/A</v>
      </c>
      <c r="AL12" s="32" t="e">
        <f t="shared" ca="1" si="29"/>
        <v>#N/A</v>
      </c>
      <c r="AP12" s="42">
        <f t="shared" ref="AP12" si="33">_xlfn.NUMBERVALUE(IF(K12=0,0,IF(K12=1,LEFT($C12,FIND("/",$C12)-1),SUM(LEFT($C12,FIND("/",$C12)-1),RIGHT($C12,LEN($C12)-FIND("/",$C12))))))</f>
        <v>0</v>
      </c>
      <c r="AQ12" s="42">
        <f t="shared" ref="AQ12" si="34">_xlfn.NUMBERVALUE(IF(L12=0,0,IF(L12=1,LEFT($C12,FIND("/",$C12)-1),SUM(LEFT($C12,FIND("/",$C12)-1),RIGHT($C12,LEN($C12)-FIND("/",$C12))))))</f>
        <v>0</v>
      </c>
      <c r="AR12" s="42">
        <f t="shared" ref="AR12" si="35">_xlfn.NUMBERVALUE(IF(M12=0,0,IF(M12=1,LEFT($C12,FIND("/",$C12)-1),SUM(LEFT($C12,FIND("/",$C12)-1),RIGHT($C12,LEN($C12)-FIND("/",$C12))))))</f>
        <v>0</v>
      </c>
      <c r="AS12" s="42">
        <f t="shared" ref="AS12" si="36">_xlfn.NUMBERVALUE(IF(N12=0,0,IF(N12=1,LEFT($C12,FIND("/",$C12)-1),SUM(LEFT($C12,FIND("/",$C12)-1),RIGHT($C12,LEN($C12)-FIND("/",$C12))))))</f>
        <v>0</v>
      </c>
      <c r="AT12" s="42">
        <f t="shared" ref="AT12" si="37">_xlfn.NUMBERVALUE(IF(O12=0,0,IF(O12=1,LEFT($C12,FIND("/",$C12)-1),SUM(LEFT($C12,FIND("/",$C12)-1),RIGHT($C12,LEN($C12)-FIND("/",$C12))))))</f>
        <v>0</v>
      </c>
      <c r="AU12" s="42">
        <f t="shared" ref="AU12" si="38">_xlfn.NUMBERVALUE(IF(P12=0,0,IF(P12=1,LEFT($C12,FIND("/",$C12)-1),SUM(LEFT($C12,FIND("/",$C12)-1),RIGHT($C12,LEN($C12)-FIND("/",$C12))))))</f>
        <v>0</v>
      </c>
      <c r="AV12" s="42">
        <f t="shared" ref="AV12" si="39">_xlfn.NUMBERVALUE(IF(Q12=0,0,IF(Q12=1,LEFT($C12,FIND("/",$C12)-1),SUM(LEFT($C12,FIND("/",$C12)-1),RIGHT($C12,LEN($C12)-FIND("/",$C12))))))</f>
        <v>0</v>
      </c>
      <c r="AW12" s="42">
        <f t="shared" ref="AW12" si="40">_xlfn.NUMBERVALUE(IF(R12=0,0,IF(R12=1,LEFT($C12,FIND("/",$C12)-1),SUM(LEFT($C12,FIND("/",$C12)-1),RIGHT($C12,LEN($C12)-FIND("/",$C12))))))</f>
        <v>0</v>
      </c>
      <c r="AX12" s="42">
        <f t="shared" ref="AX12" si="41">_xlfn.NUMBERVALUE(IF(S12=0,0,IF(S12=1,LEFT($C12,FIND("/",$C12)-1),SUM(LEFT($C12,FIND("/",$C12)-1),RIGHT($C12,LEN($C12)-FIND("/",$C12))))))</f>
        <v>0</v>
      </c>
      <c r="AY12" s="42">
        <f t="shared" ref="AY12" si="42">_xlfn.NUMBERVALUE(IF(T12=0,0,IF(T12=1,LEFT($C12,FIND("/",$C12)-1),SUM(LEFT($C12,FIND("/",$C12)-1),RIGHT($C12,LEN($C12)-FIND("/",$C12))))))</f>
        <v>0</v>
      </c>
      <c r="AZ12" s="42">
        <f t="shared" ref="AZ12" si="43">_xlfn.NUMBERVALUE(IF(U12=0,0,IF(U12=1,LEFT($C12,FIND("/",$C12)-1),SUM(LEFT($C12,FIND("/",$C12)-1),RIGHT($C12,LEN($C12)-FIND("/",$C12))))))</f>
        <v>0</v>
      </c>
      <c r="BA12" s="42">
        <f t="shared" ref="BA12" si="44">_xlfn.NUMBERVALUE(IF(V12=0,0,IF(V12=1,LEFT($C12,FIND("/",$C12)-1),SUM(LEFT($C12,FIND("/",$C12)-1),RIGHT($C12,LEN($C12)-FIND("/",$C12))))))</f>
        <v>0</v>
      </c>
      <c r="BB12" s="42">
        <f t="shared" ref="BB12" si="45">_xlfn.NUMBERVALUE(IF(W12=0,0,IF(W12=1,LEFT($C12,FIND("/",$C12)-1),SUM(LEFT($C12,FIND("/",$C12)-1),RIGHT($C12,LEN($C12)-FIND("/",$C12))))))</f>
        <v>0</v>
      </c>
      <c r="BC12" s="42">
        <f t="shared" ref="BC12" si="46">_xlfn.NUMBERVALUE(IF(X12=0,0,IF(X12=1,LEFT($C12,FIND("/",$C12)-1),SUM(LEFT($C12,FIND("/",$C12)-1),RIGHT($C12,LEN($C12)-FIND("/",$C12))))))</f>
        <v>0</v>
      </c>
      <c r="BD12" s="42">
        <f t="shared" ref="BD12" si="47">_xlfn.NUMBERVALUE(IF(Y12=0,0,IF(Y12=1,LEFT($C12,FIND("/",$C12)-1),SUM(LEFT($C12,FIND("/",$C12)-1),RIGHT($C12,LEN($C12)-FIND("/",$C12))))))</f>
        <v>0</v>
      </c>
      <c r="BE12" s="42">
        <f t="shared" ref="BE12" si="48">_xlfn.NUMBERVALUE(IF(Z12=0,0,IF(Z12=1,LEFT($C12,FIND("/",$C12)-1),SUM(LEFT($C12,FIND("/",$C12)-1),RIGHT($C12,LEN($C12)-FIND("/",$C12))))))</f>
        <v>0</v>
      </c>
      <c r="BF12" s="42">
        <f t="shared" ref="BF12" si="49">_xlfn.NUMBERVALUE(IF(AA12=0,0,IF(AA12=1,LEFT($C12,FIND("/",$C12)-1),SUM(LEFT($C12,FIND("/",$C12)-1),RIGHT($C12,LEN($C12)-FIND("/",$C12))))))</f>
        <v>0</v>
      </c>
      <c r="BG12" s="42">
        <f t="shared" ref="BG12" si="50">_xlfn.NUMBERVALUE(IF(AB12=0,0,IF(AB12=1,LEFT($C12,FIND("/",$C12)-1),SUM(LEFT($C12,FIND("/",$C12)-1),RIGHT($C12,LEN($C12)-FIND("/",$C12))))))</f>
        <v>0</v>
      </c>
      <c r="BH12" s="42">
        <f t="shared" ref="BH12" si="51">_xlfn.NUMBERVALUE(IF(AC12=0,0,IF(AC12=1,LEFT($C12,FIND("/",$C12)-1),SUM(LEFT($C12,FIND("/",$C12)-1),RIGHT($C12,LEN($C12)-FIND("/",$C12))))))</f>
        <v>0</v>
      </c>
      <c r="BI12" s="42">
        <f t="shared" ref="BI12" si="52">_xlfn.NUMBERVALUE(IF(AD12=0,0,IF(AD12=1,LEFT($C12,FIND("/",$C12)-1),SUM(LEFT($C12,FIND("/",$C12)-1),RIGHT($C12,LEN($C12)-FIND("/",$C12))))))</f>
        <v>0</v>
      </c>
    </row>
    <row r="13" spans="1:61" x14ac:dyDescent="0.25">
      <c r="A13" s="477"/>
      <c r="B13" s="21" t="s">
        <v>80</v>
      </c>
      <c r="C13" s="1" t="str">
        <f t="shared" si="4"/>
        <v>2/4</v>
      </c>
      <c r="D13" s="1" t="str">
        <f>IF(IF((COUNTIF(Professional_Skill_Options,'Skill Workbook'!F13)&gt;0),INDEX(Professional_Skill_Choices,MATCH(F13,Professional_Skill_Options,0)),FALSE),"X","")</f>
        <v/>
      </c>
      <c r="E13" s="1" t="str">
        <f>IF(IF((COUNTIF(Professional_Skill_Options,'Skill Workbook'!F13)&gt;0),INDEX(Professional_Skill_Knacks,MATCH(F13,Professional_Skill_Options,0)),FALSE),"X","")</f>
        <v/>
      </c>
      <c r="F13" t="s">
        <v>82</v>
      </c>
      <c r="G13" s="194" t="str">
        <f>'Base Details'!O104</f>
        <v>Speciality 1</v>
      </c>
      <c r="H13" s="195"/>
      <c r="I13" s="1" t="s">
        <v>83</v>
      </c>
      <c r="J13" s="1">
        <f>'Base Details'!J104</f>
        <v>0</v>
      </c>
      <c r="AE13" s="1">
        <f>SUM(K13:INDEX(K13:AD13,Level))+J13-IF(H13="",0,1)</f>
        <v>0</v>
      </c>
      <c r="AF13" s="26">
        <f t="shared" si="5"/>
        <v>-25</v>
      </c>
      <c r="AG13" s="26" t="e" cm="1">
        <f t="array" aca="1" ref="AG13" ca="1">IF(I13="NA",0,INDIRECT(LEFT(I13,2))+INDIRECT(MID(I13,4,2))+INDIRECT(RIGHT(I13,2)))</f>
        <v>#N/A</v>
      </c>
      <c r="AH13" s="26">
        <f t="shared" si="27"/>
        <v>0</v>
      </c>
      <c r="AI13" s="26">
        <f t="shared" si="28"/>
        <v>0</v>
      </c>
      <c r="AJ13" s="26"/>
      <c r="AK13" s="26" t="e">
        <f t="shared" ca="1" si="6"/>
        <v>#N/A</v>
      </c>
      <c r="AL13" s="32" t="e">
        <f t="shared" ca="1" si="29"/>
        <v>#N/A</v>
      </c>
      <c r="AP13" s="42">
        <f t="shared" si="7"/>
        <v>0</v>
      </c>
      <c r="AQ13" s="42">
        <f t="shared" si="8"/>
        <v>0</v>
      </c>
      <c r="AR13" s="42">
        <f t="shared" si="9"/>
        <v>0</v>
      </c>
      <c r="AS13" s="42">
        <f t="shared" si="10"/>
        <v>0</v>
      </c>
      <c r="AT13" s="42">
        <f t="shared" si="11"/>
        <v>0</v>
      </c>
      <c r="AU13" s="42">
        <f t="shared" si="12"/>
        <v>0</v>
      </c>
      <c r="AV13" s="42">
        <f t="shared" si="13"/>
        <v>0</v>
      </c>
      <c r="AW13" s="42">
        <f t="shared" si="14"/>
        <v>0</v>
      </c>
      <c r="AX13" s="42">
        <f t="shared" si="15"/>
        <v>0</v>
      </c>
      <c r="AY13" s="42">
        <f t="shared" si="16"/>
        <v>0</v>
      </c>
      <c r="AZ13" s="42">
        <f t="shared" si="17"/>
        <v>0</v>
      </c>
      <c r="BA13" s="42">
        <f t="shared" si="18"/>
        <v>0</v>
      </c>
      <c r="BB13" s="42">
        <f t="shared" si="19"/>
        <v>0</v>
      </c>
      <c r="BC13" s="42">
        <f t="shared" si="20"/>
        <v>0</v>
      </c>
      <c r="BD13" s="42">
        <f t="shared" si="21"/>
        <v>0</v>
      </c>
      <c r="BE13" s="42">
        <f t="shared" si="22"/>
        <v>0</v>
      </c>
      <c r="BF13" s="42">
        <f t="shared" si="23"/>
        <v>0</v>
      </c>
      <c r="BG13" s="42">
        <f t="shared" si="24"/>
        <v>0</v>
      </c>
      <c r="BH13" s="42">
        <f t="shared" si="25"/>
        <v>0</v>
      </c>
      <c r="BI13" s="42">
        <f t="shared" si="26"/>
        <v>0</v>
      </c>
    </row>
    <row r="14" spans="1:61" x14ac:dyDescent="0.25">
      <c r="A14" s="477"/>
      <c r="B14" s="21" t="s">
        <v>80</v>
      </c>
      <c r="C14" s="1" t="str">
        <f t="shared" si="4"/>
        <v>2/4</v>
      </c>
      <c r="D14" s="1" t="str">
        <f>IF(IF((COUNTIF(Professional_Skill_Options,'Skill Workbook'!F14)&gt;0),INDEX(Professional_Skill_Choices,MATCH(F14,Professional_Skill_Options,0)),FALSE),"X","")</f>
        <v/>
      </c>
      <c r="E14" s="1" t="str">
        <f>IF(IF((COUNTIF(Professional_Skill_Options,'Skill Workbook'!F14)&gt;0),INDEX(Professional_Skill_Knacks,MATCH(F14,Professional_Skill_Options,0)),FALSE),"X","")</f>
        <v/>
      </c>
      <c r="F14" t="s">
        <v>82</v>
      </c>
      <c r="G14" s="194" t="str">
        <f>'Base Details'!O105</f>
        <v>Speciality 2</v>
      </c>
      <c r="H14" s="195"/>
      <c r="I14" s="1" t="s">
        <v>83</v>
      </c>
      <c r="J14" s="1">
        <f>'Base Details'!J105</f>
        <v>0</v>
      </c>
      <c r="AE14" s="1">
        <f>SUM(K14:INDEX(K14:AD14,Level))+J14-IF(H14="",0,1)</f>
        <v>0</v>
      </c>
      <c r="AF14" s="26">
        <f t="shared" ref="AF14" si="53">IF(AE14&gt;30,100+AE14,VLOOKUP(AE14,Rank_Bonus,2,FALSE))</f>
        <v>-25</v>
      </c>
      <c r="AG14" s="26" t="e" cm="1">
        <f t="array" aca="1" ref="AG14" ca="1">IF(I14="NA",0,INDIRECT(LEFT(I14,2))+INDIRECT(MID(I14,4,2))+INDIRECT(RIGHT(I14,2)))</f>
        <v>#N/A</v>
      </c>
      <c r="AH14" s="26">
        <f t="shared" ref="AH14" si="54">IF(D14="X",MIN(30,AE14),0)</f>
        <v>0</v>
      </c>
      <c r="AI14" s="26">
        <f t="shared" ref="AI14" si="55">IF(E14="X",5,0)</f>
        <v>0</v>
      </c>
      <c r="AJ14" s="26"/>
      <c r="AK14" s="26" t="e">
        <f t="shared" ca="1" si="6"/>
        <v>#N/A</v>
      </c>
      <c r="AL14" s="32" t="e">
        <f t="shared" ca="1" si="29"/>
        <v>#N/A</v>
      </c>
      <c r="AN14" s="1"/>
      <c r="AP14" s="42">
        <f t="shared" ref="AP14" si="56">_xlfn.NUMBERVALUE(IF(K14=0,0,IF(K14=1,LEFT($C14,FIND("/",$C14)-1),SUM(LEFT($C14,FIND("/",$C14)-1),RIGHT($C14,LEN($C14)-FIND("/",$C14))))))</f>
        <v>0</v>
      </c>
      <c r="AQ14" s="42">
        <f t="shared" si="8"/>
        <v>0</v>
      </c>
      <c r="AR14" s="42">
        <f t="shared" ref="AR14" si="57">_xlfn.NUMBERVALUE(IF(M14=0,0,IF(M14=1,LEFT($C14,FIND("/",$C14)-1),SUM(LEFT($C14,FIND("/",$C14)-1),RIGHT($C14,LEN($C14)-FIND("/",$C14))))))</f>
        <v>0</v>
      </c>
      <c r="AS14" s="42">
        <f t="shared" ref="AS14" si="58">_xlfn.NUMBERVALUE(IF(N14=0,0,IF(N14=1,LEFT($C14,FIND("/",$C14)-1),SUM(LEFT($C14,FIND("/",$C14)-1),RIGHT($C14,LEN($C14)-FIND("/",$C14))))))</f>
        <v>0</v>
      </c>
      <c r="AT14" s="42">
        <f t="shared" ref="AT14" si="59">_xlfn.NUMBERVALUE(IF(O14=0,0,IF(O14=1,LEFT($C14,FIND("/",$C14)-1),SUM(LEFT($C14,FIND("/",$C14)-1),RIGHT($C14,LEN($C14)-FIND("/",$C14))))))</f>
        <v>0</v>
      </c>
      <c r="AU14" s="42">
        <f t="shared" ref="AU14" si="60">_xlfn.NUMBERVALUE(IF(P14=0,0,IF(P14=1,LEFT($C14,FIND("/",$C14)-1),SUM(LEFT($C14,FIND("/",$C14)-1),RIGHT($C14,LEN($C14)-FIND("/",$C14))))))</f>
        <v>0</v>
      </c>
      <c r="AV14" s="42">
        <f t="shared" ref="AV14" si="61">_xlfn.NUMBERVALUE(IF(Q14=0,0,IF(Q14=1,LEFT($C14,FIND("/",$C14)-1),SUM(LEFT($C14,FIND("/",$C14)-1),RIGHT($C14,LEN($C14)-FIND("/",$C14))))))</f>
        <v>0</v>
      </c>
      <c r="AW14" s="42">
        <f t="shared" ref="AW14" si="62">_xlfn.NUMBERVALUE(IF(R14=0,0,IF(R14=1,LEFT($C14,FIND("/",$C14)-1),SUM(LEFT($C14,FIND("/",$C14)-1),RIGHT($C14,LEN($C14)-FIND("/",$C14))))))</f>
        <v>0</v>
      </c>
      <c r="AX14" s="42">
        <f t="shared" ref="AX14" si="63">_xlfn.NUMBERVALUE(IF(S14=0,0,IF(S14=1,LEFT($C14,FIND("/",$C14)-1),SUM(LEFT($C14,FIND("/",$C14)-1),RIGHT($C14,LEN($C14)-FIND("/",$C14))))))</f>
        <v>0</v>
      </c>
      <c r="AY14" s="42">
        <f t="shared" ref="AY14" si="64">_xlfn.NUMBERVALUE(IF(T14=0,0,IF(T14=1,LEFT($C14,FIND("/",$C14)-1),SUM(LEFT($C14,FIND("/",$C14)-1),RIGHT($C14,LEN($C14)-FIND("/",$C14))))))</f>
        <v>0</v>
      </c>
      <c r="AZ14" s="42">
        <f t="shared" ref="AZ14" si="65">_xlfn.NUMBERVALUE(IF(U14=0,0,IF(U14=1,LEFT($C14,FIND("/",$C14)-1),SUM(LEFT($C14,FIND("/",$C14)-1),RIGHT($C14,LEN($C14)-FIND("/",$C14))))))</f>
        <v>0</v>
      </c>
      <c r="BA14" s="42">
        <f t="shared" ref="BA14" si="66">_xlfn.NUMBERVALUE(IF(V14=0,0,IF(V14=1,LEFT($C14,FIND("/",$C14)-1),SUM(LEFT($C14,FIND("/",$C14)-1),RIGHT($C14,LEN($C14)-FIND("/",$C14))))))</f>
        <v>0</v>
      </c>
      <c r="BB14" s="42">
        <f t="shared" ref="BB14" si="67">_xlfn.NUMBERVALUE(IF(W14=0,0,IF(W14=1,LEFT($C14,FIND("/",$C14)-1),SUM(LEFT($C14,FIND("/",$C14)-1),RIGHT($C14,LEN($C14)-FIND("/",$C14))))))</f>
        <v>0</v>
      </c>
      <c r="BC14" s="42">
        <f t="shared" ref="BC14" si="68">_xlfn.NUMBERVALUE(IF(X14=0,0,IF(X14=1,LEFT($C14,FIND("/",$C14)-1),SUM(LEFT($C14,FIND("/",$C14)-1),RIGHT($C14,LEN($C14)-FIND("/",$C14))))))</f>
        <v>0</v>
      </c>
      <c r="BD14" s="42">
        <f t="shared" ref="BD14" si="69">_xlfn.NUMBERVALUE(IF(Y14=0,0,IF(Y14=1,LEFT($C14,FIND("/",$C14)-1),SUM(LEFT($C14,FIND("/",$C14)-1),RIGHT($C14,LEN($C14)-FIND("/",$C14))))))</f>
        <v>0</v>
      </c>
      <c r="BE14" s="42">
        <f t="shared" ref="BE14" si="70">_xlfn.NUMBERVALUE(IF(Z14=0,0,IF(Z14=1,LEFT($C14,FIND("/",$C14)-1),SUM(LEFT($C14,FIND("/",$C14)-1),RIGHT($C14,LEN($C14)-FIND("/",$C14))))))</f>
        <v>0</v>
      </c>
      <c r="BF14" s="42">
        <f t="shared" ref="BF14" si="71">_xlfn.NUMBERVALUE(IF(AA14=0,0,IF(AA14=1,LEFT($C14,FIND("/",$C14)-1),SUM(LEFT($C14,FIND("/",$C14)-1),RIGHT($C14,LEN($C14)-FIND("/",$C14))))))</f>
        <v>0</v>
      </c>
      <c r="BG14" s="42">
        <f t="shared" ref="BG14" si="72">_xlfn.NUMBERVALUE(IF(AB14=0,0,IF(AB14=1,LEFT($C14,FIND("/",$C14)-1),SUM(LEFT($C14,FIND("/",$C14)-1),RIGHT($C14,LEN($C14)-FIND("/",$C14))))))</f>
        <v>0</v>
      </c>
      <c r="BH14" s="42">
        <f t="shared" ref="BH14" si="73">_xlfn.NUMBERVALUE(IF(AC14=0,0,IF(AC14=1,LEFT($C14,FIND("/",$C14)-1),SUM(LEFT($C14,FIND("/",$C14)-1),RIGHT($C14,LEN($C14)-FIND("/",$C14))))))</f>
        <v>0</v>
      </c>
      <c r="BI14" s="42">
        <f t="shared" ref="BI14" si="74">_xlfn.NUMBERVALUE(IF(AD14=0,0,IF(AD14=1,LEFT($C14,FIND("/",$C14)-1),SUM(LEFT($C14,FIND("/",$C14)-1),RIGHT($C14,LEN($C14)-FIND("/",$C14))))))</f>
        <v>0</v>
      </c>
    </row>
    <row r="15" spans="1:61" x14ac:dyDescent="0.25">
      <c r="A15" s="477"/>
      <c r="B15" s="21" t="s">
        <v>80</v>
      </c>
      <c r="C15" s="1" t="str">
        <f t="shared" si="4"/>
        <v>2/4</v>
      </c>
      <c r="D15" s="1" t="str">
        <f>IF(IF((COUNTIF(Professional_Skill_Options,'Skill Workbook'!F15)&gt;0),INDEX(Professional_Skill_Choices,MATCH(F15,Professional_Skill_Options,0)),FALSE),"X","")</f>
        <v/>
      </c>
      <c r="E15" s="1" t="str">
        <f>IF(IF((COUNTIF(Professional_Skill_Options,'Skill Workbook'!F15)&gt;0),INDEX(Professional_Skill_Knacks,MATCH(F15,Professional_Skill_Options,0)),FALSE),"X","")</f>
        <v/>
      </c>
      <c r="F15" t="s">
        <v>82</v>
      </c>
      <c r="G15" s="194" t="str">
        <f>'Base Details'!O106</f>
        <v>Speciality 3</v>
      </c>
      <c r="H15" s="195"/>
      <c r="I15" s="1" t="s">
        <v>83</v>
      </c>
      <c r="J15" s="1">
        <f>'Base Details'!J106</f>
        <v>0</v>
      </c>
      <c r="AE15" s="1">
        <f>SUM(K15:INDEX(K15:AD15,Level))+J15-IF(H15="",0,1)</f>
        <v>0</v>
      </c>
      <c r="AF15" s="26">
        <f t="shared" si="5"/>
        <v>-25</v>
      </c>
      <c r="AG15" s="26" t="e" cm="1">
        <f t="array" aca="1" ref="AG15" ca="1">IF(I15="NA",0,INDIRECT(LEFT(I15,2))+INDIRECT(MID(I15,4,2))+INDIRECT(RIGHT(I15,2)))</f>
        <v>#N/A</v>
      </c>
      <c r="AH15" s="26">
        <f t="shared" si="27"/>
        <v>0</v>
      </c>
      <c r="AI15" s="26">
        <f t="shared" si="28"/>
        <v>0</v>
      </c>
      <c r="AJ15" s="26"/>
      <c r="AK15" s="26" t="e">
        <f t="shared" ca="1" si="6"/>
        <v>#N/A</v>
      </c>
      <c r="AL15" s="32" t="e">
        <f t="shared" ca="1" si="29"/>
        <v>#N/A</v>
      </c>
      <c r="AP15" s="42">
        <f t="shared" si="7"/>
        <v>0</v>
      </c>
      <c r="AQ15" s="42">
        <f t="shared" si="8"/>
        <v>0</v>
      </c>
      <c r="AR15" s="42">
        <f t="shared" si="9"/>
        <v>0</v>
      </c>
      <c r="AS15" s="42">
        <f t="shared" si="10"/>
        <v>0</v>
      </c>
      <c r="AT15" s="42">
        <f t="shared" si="11"/>
        <v>0</v>
      </c>
      <c r="AU15" s="42">
        <f t="shared" si="12"/>
        <v>0</v>
      </c>
      <c r="AV15" s="42">
        <f t="shared" si="13"/>
        <v>0</v>
      </c>
      <c r="AW15" s="42">
        <f t="shared" si="14"/>
        <v>0</v>
      </c>
      <c r="AX15" s="42">
        <f t="shared" si="15"/>
        <v>0</v>
      </c>
      <c r="AY15" s="42">
        <f t="shared" si="16"/>
        <v>0</v>
      </c>
      <c r="AZ15" s="42">
        <f t="shared" si="17"/>
        <v>0</v>
      </c>
      <c r="BA15" s="42">
        <f t="shared" si="18"/>
        <v>0</v>
      </c>
      <c r="BB15" s="42">
        <f t="shared" si="19"/>
        <v>0</v>
      </c>
      <c r="BC15" s="42">
        <f t="shared" si="20"/>
        <v>0</v>
      </c>
      <c r="BD15" s="42">
        <f t="shared" si="21"/>
        <v>0</v>
      </c>
      <c r="BE15" s="42">
        <f t="shared" si="22"/>
        <v>0</v>
      </c>
      <c r="BF15" s="42">
        <f t="shared" si="23"/>
        <v>0</v>
      </c>
      <c r="BG15" s="42">
        <f t="shared" si="24"/>
        <v>0</v>
      </c>
      <c r="BH15" s="42">
        <f t="shared" si="25"/>
        <v>0</v>
      </c>
      <c r="BI15" s="42">
        <f t="shared" si="26"/>
        <v>0</v>
      </c>
    </row>
    <row r="16" spans="1:61" x14ac:dyDescent="0.25">
      <c r="A16" s="477"/>
      <c r="B16" s="9" t="s">
        <v>85</v>
      </c>
      <c r="C16" s="74" t="str">
        <f t="shared" si="4"/>
        <v>2/4</v>
      </c>
      <c r="D16" s="74" t="str">
        <f>IF(IF((COUNTIF(Professional_Skill_Options,'Skill Workbook'!F16)&gt;0),INDEX(Professional_Skill_Choices,MATCH(F16,Professional_Skill_Options,0)),FALSE),"X","")</f>
        <v/>
      </c>
      <c r="E16" s="74" t="str">
        <f>IF(IF((COUNTIF(Professional_Skill_Options,'Skill Workbook'!F16)&gt;0),INDEX(Professional_Skill_Knacks,MATCH(F16,Professional_Skill_Options,0)),FALSE),"X","")</f>
        <v/>
      </c>
      <c r="F16" s="124" t="s">
        <v>86</v>
      </c>
      <c r="G16" s="196"/>
      <c r="H16" s="197"/>
      <c r="I16" s="74" t="s">
        <v>88</v>
      </c>
      <c r="J16" s="74">
        <f>'Base Details'!V101</f>
        <v>0</v>
      </c>
      <c r="K16" s="74"/>
      <c r="L16" s="74"/>
      <c r="M16" s="74"/>
      <c r="N16" s="74"/>
      <c r="O16" s="74"/>
      <c r="P16" s="74"/>
      <c r="Q16" s="74"/>
      <c r="R16" s="74"/>
      <c r="S16" s="74"/>
      <c r="T16" s="74"/>
      <c r="U16" s="74"/>
      <c r="V16" s="74"/>
      <c r="W16" s="74"/>
      <c r="X16" s="74"/>
      <c r="Y16" s="74"/>
      <c r="Z16" s="74"/>
      <c r="AA16" s="74"/>
      <c r="AB16" s="74"/>
      <c r="AC16" s="74"/>
      <c r="AD16" s="74"/>
      <c r="AE16" s="74">
        <f>SUM(K16:INDEX(K16:AD16,Level))+J16-IF(H16="",0,1)</f>
        <v>0</v>
      </c>
      <c r="AF16" s="110">
        <f>IF(AE16&gt;30,100+AE16,VLOOKUP(AE16,Rank_Bonus,2,FALSE))</f>
        <v>-25</v>
      </c>
      <c r="AG16" s="110" t="e" cm="1">
        <f t="array" aca="1" ref="AG16" ca="1">IF(I16="NA",0,INDIRECT(LEFT(I16,2))+INDIRECT(MID(I16,4,2))+INDIRECT(RIGHT(I16,2)))</f>
        <v>#N/A</v>
      </c>
      <c r="AH16" s="110">
        <f t="shared" si="27"/>
        <v>0</v>
      </c>
      <c r="AI16" s="110">
        <f t="shared" si="28"/>
        <v>0</v>
      </c>
      <c r="AJ16" s="110">
        <f>Main!N36</f>
        <v>0</v>
      </c>
      <c r="AK16" s="110" t="e">
        <f t="shared" ca="1" si="6"/>
        <v>#N/A</v>
      </c>
      <c r="AL16" s="125" t="e">
        <f t="shared" ca="1" si="29"/>
        <v>#N/A</v>
      </c>
      <c r="AP16" s="42">
        <f t="shared" si="7"/>
        <v>0</v>
      </c>
      <c r="AQ16" s="42">
        <f t="shared" si="8"/>
        <v>0</v>
      </c>
      <c r="AR16" s="42">
        <f t="shared" si="9"/>
        <v>0</v>
      </c>
      <c r="AS16" s="42">
        <f t="shared" si="10"/>
        <v>0</v>
      </c>
      <c r="AT16" s="42">
        <f t="shared" si="11"/>
        <v>0</v>
      </c>
      <c r="AU16" s="42">
        <f t="shared" si="12"/>
        <v>0</v>
      </c>
      <c r="AV16" s="42">
        <f t="shared" si="13"/>
        <v>0</v>
      </c>
      <c r="AW16" s="42">
        <f t="shared" si="14"/>
        <v>0</v>
      </c>
      <c r="AX16" s="42">
        <f t="shared" si="15"/>
        <v>0</v>
      </c>
      <c r="AY16" s="42">
        <f t="shared" si="16"/>
        <v>0</v>
      </c>
      <c r="AZ16" s="42">
        <f t="shared" si="17"/>
        <v>0</v>
      </c>
      <c r="BA16" s="42">
        <f t="shared" si="18"/>
        <v>0</v>
      </c>
      <c r="BB16" s="42">
        <f t="shared" si="19"/>
        <v>0</v>
      </c>
      <c r="BC16" s="42">
        <f t="shared" si="20"/>
        <v>0</v>
      </c>
      <c r="BD16" s="42">
        <f t="shared" si="21"/>
        <v>0</v>
      </c>
      <c r="BE16" s="42">
        <f t="shared" si="22"/>
        <v>0</v>
      </c>
      <c r="BF16" s="42">
        <f t="shared" si="23"/>
        <v>0</v>
      </c>
      <c r="BG16" s="42">
        <f t="shared" si="24"/>
        <v>0</v>
      </c>
      <c r="BH16" s="42">
        <f t="shared" si="25"/>
        <v>0</v>
      </c>
      <c r="BI16" s="42">
        <f t="shared" si="26"/>
        <v>0</v>
      </c>
    </row>
    <row r="17" spans="1:61" x14ac:dyDescent="0.25">
      <c r="A17" s="477"/>
      <c r="B17" s="21" t="s">
        <v>85</v>
      </c>
      <c r="C17" s="1" t="str">
        <f t="shared" si="4"/>
        <v>2/4</v>
      </c>
      <c r="D17" s="1" t="str">
        <f>IF(IF((COUNTIF(Professional_Skill_Options,'Skill Workbook'!F17)&gt;0),INDEX(Professional_Skill_Choices,MATCH(F17,Professional_Skill_Options,0)),FALSE),"X","")</f>
        <v/>
      </c>
      <c r="E17" s="1" t="str">
        <f>IF(IF((COUNTIF(Professional_Skill_Options,'Skill Workbook'!F17)&gt;0),INDEX(Professional_Skill_Knacks,MATCH(F17,Professional_Skill_Options,0)),FALSE),"X","")</f>
        <v/>
      </c>
      <c r="F17" t="s">
        <v>87</v>
      </c>
      <c r="G17" s="196"/>
      <c r="H17" s="198"/>
      <c r="I17" s="1" t="s">
        <v>88</v>
      </c>
      <c r="J17" s="1">
        <f>'Base Details'!V102</f>
        <v>0</v>
      </c>
      <c r="AE17" s="1">
        <f>SUM(K17:INDEX(K17:AD17,Level))+J17-IF(H17="",0,1)</f>
        <v>0</v>
      </c>
      <c r="AF17" s="26">
        <f t="shared" si="5"/>
        <v>-25</v>
      </c>
      <c r="AG17" s="26" t="e" cm="1">
        <f t="array" aca="1" ref="AG17" ca="1">IF(I17="NA",0,INDIRECT(LEFT(I17,2))+INDIRECT(MID(I17,4,2))+INDIRECT(RIGHT(I17,2)))</f>
        <v>#N/A</v>
      </c>
      <c r="AH17" s="26">
        <f t="shared" si="27"/>
        <v>0</v>
      </c>
      <c r="AI17" s="26">
        <f t="shared" si="28"/>
        <v>0</v>
      </c>
      <c r="AJ17" s="26"/>
      <c r="AK17" s="26" t="e">
        <f t="shared" ca="1" si="6"/>
        <v>#N/A</v>
      </c>
      <c r="AL17" s="32" t="e">
        <f t="shared" ca="1" si="29"/>
        <v>#N/A</v>
      </c>
      <c r="AP17" s="42">
        <f t="shared" si="7"/>
        <v>0</v>
      </c>
      <c r="AQ17" s="42">
        <f t="shared" si="8"/>
        <v>0</v>
      </c>
      <c r="AR17" s="42">
        <f t="shared" si="9"/>
        <v>0</v>
      </c>
      <c r="AS17" s="42">
        <f t="shared" si="10"/>
        <v>0</v>
      </c>
      <c r="AT17" s="42">
        <f t="shared" si="11"/>
        <v>0</v>
      </c>
      <c r="AU17" s="42">
        <f t="shared" si="12"/>
        <v>0</v>
      </c>
      <c r="AV17" s="42">
        <f t="shared" si="13"/>
        <v>0</v>
      </c>
      <c r="AW17" s="42">
        <f t="shared" si="14"/>
        <v>0</v>
      </c>
      <c r="AX17" s="42">
        <f t="shared" si="15"/>
        <v>0</v>
      </c>
      <c r="AY17" s="42">
        <f t="shared" si="16"/>
        <v>0</v>
      </c>
      <c r="AZ17" s="42">
        <f t="shared" si="17"/>
        <v>0</v>
      </c>
      <c r="BA17" s="42">
        <f t="shared" si="18"/>
        <v>0</v>
      </c>
      <c r="BB17" s="42">
        <f t="shared" si="19"/>
        <v>0</v>
      </c>
      <c r="BC17" s="42">
        <f t="shared" si="20"/>
        <v>0</v>
      </c>
      <c r="BD17" s="42">
        <f t="shared" si="21"/>
        <v>0</v>
      </c>
      <c r="BE17" s="42">
        <f t="shared" si="22"/>
        <v>0</v>
      </c>
      <c r="BF17" s="42">
        <f t="shared" si="23"/>
        <v>0</v>
      </c>
      <c r="BG17" s="42">
        <f t="shared" si="24"/>
        <v>0</v>
      </c>
      <c r="BH17" s="42">
        <f t="shared" si="25"/>
        <v>0</v>
      </c>
      <c r="BI17" s="42">
        <f t="shared" si="26"/>
        <v>0</v>
      </c>
    </row>
    <row r="18" spans="1:61" x14ac:dyDescent="0.25">
      <c r="A18" s="477"/>
      <c r="B18" s="21" t="s">
        <v>89</v>
      </c>
      <c r="C18" s="1" t="str">
        <f t="shared" si="4"/>
        <v>3/5</v>
      </c>
      <c r="D18" s="1" t="str">
        <f>IF(IF((COUNTIF(Professional_Skill_Options,'Skill Workbook'!F18)&gt;0),INDEX(Professional_Skill_Choices,MATCH(F18,Professional_Skill_Options,0)),FALSE),"X","")</f>
        <v/>
      </c>
      <c r="E18" s="1" t="str">
        <f>IF(IF((COUNTIF(Professional_Skill_Options,'Skill Workbook'!F18)&gt;0),INDEX(Professional_Skill_Knacks,MATCH(F18,Professional_Skill_Options,0)),FALSE),"X","")</f>
        <v/>
      </c>
      <c r="F18" t="s">
        <v>816</v>
      </c>
      <c r="G18" s="194" t="s">
        <v>817</v>
      </c>
      <c r="H18" s="195"/>
      <c r="I18" s="1" t="s">
        <v>94</v>
      </c>
      <c r="J18" s="46"/>
      <c r="AE18" s="1">
        <f>SUM(K18:INDEX(K18:AD18,Level))+J18-IF(H18="",0,1)</f>
        <v>0</v>
      </c>
      <c r="AF18" s="26">
        <f t="shared" ref="AF18:AF21" si="75">IF(AE18&gt;30,100+AE18,VLOOKUP(AE18,Rank_Bonus,2,FALSE))</f>
        <v>-25</v>
      </c>
      <c r="AG18" s="26" cm="1">
        <f t="array" aca="1" ref="AG18" ca="1">IF(I18="NA",0,INDIRECT(LEFT(I18,2))+INDIRECT(MID(I18,4,2))+INDIRECT(RIGHT(I18,2)))</f>
        <v>0</v>
      </c>
      <c r="AH18" s="26">
        <f t="shared" ref="AH18:AH21" si="76">IF(D18="X",MIN(30,AE18),0)</f>
        <v>0</v>
      </c>
      <c r="AI18" s="26">
        <f t="shared" ref="AI18:AI21" si="77">IF(E18="X",5,0)</f>
        <v>0</v>
      </c>
      <c r="AJ18" s="26"/>
      <c r="AK18" s="26">
        <f t="shared" ca="1" si="6"/>
        <v>-25</v>
      </c>
      <c r="AL18" s="32">
        <f t="shared" ref="AL18:AL21" ca="1" si="78">ROUND(SUM(AF18:AJ18),0)</f>
        <v>-25</v>
      </c>
      <c r="AP18" s="42"/>
      <c r="AQ18" s="42"/>
      <c r="AR18" s="42"/>
      <c r="AS18" s="42"/>
      <c r="AT18" s="42"/>
      <c r="AU18" s="42"/>
      <c r="AV18" s="42"/>
      <c r="AW18" s="42"/>
      <c r="AX18" s="42"/>
      <c r="AY18" s="42"/>
      <c r="AZ18" s="42"/>
      <c r="BA18" s="42"/>
      <c r="BB18" s="42"/>
      <c r="BC18" s="42"/>
      <c r="BD18" s="42"/>
      <c r="BE18" s="42"/>
      <c r="BF18" s="42"/>
      <c r="BG18" s="42"/>
      <c r="BH18" s="42"/>
      <c r="BI18" s="42"/>
    </row>
    <row r="19" spans="1:61" x14ac:dyDescent="0.25">
      <c r="A19" s="477"/>
      <c r="B19" s="21" t="s">
        <v>89</v>
      </c>
      <c r="C19" s="1" t="str">
        <f t="shared" si="4"/>
        <v>3/5</v>
      </c>
      <c r="D19" s="1" t="str">
        <f>IF(IF((COUNTIF(Professional_Skill_Options,'Skill Workbook'!F19)&gt;0),INDEX(Professional_Skill_Choices,MATCH(F19,Professional_Skill_Options,0)),FALSE),"X","")</f>
        <v/>
      </c>
      <c r="E19" s="1" t="str">
        <f>IF(IF((COUNTIF(Professional_Skill_Options,'Skill Workbook'!F19)&gt;0),INDEX(Professional_Skill_Knacks,MATCH(F19,Professional_Skill_Options,0)),FALSE),"X","")</f>
        <v/>
      </c>
      <c r="F19" t="s">
        <v>816</v>
      </c>
      <c r="G19" s="194" t="s">
        <v>818</v>
      </c>
      <c r="H19" s="195"/>
      <c r="I19" s="1" t="s">
        <v>94</v>
      </c>
      <c r="J19" s="46"/>
      <c r="AE19" s="1">
        <f>SUM(K19:INDEX(K19:AD19,Level))+J19-IF(H19="",0,1)</f>
        <v>0</v>
      </c>
      <c r="AF19" s="26">
        <f t="shared" si="75"/>
        <v>-25</v>
      </c>
      <c r="AG19" s="26" cm="1">
        <f t="array" aca="1" ref="AG19" ca="1">IF(I19="NA",0,INDIRECT(LEFT(I19,2))+INDIRECT(MID(I19,4,2))+INDIRECT(RIGHT(I19,2)))</f>
        <v>0</v>
      </c>
      <c r="AH19" s="26">
        <f t="shared" si="76"/>
        <v>0</v>
      </c>
      <c r="AI19" s="26">
        <f t="shared" si="77"/>
        <v>0</v>
      </c>
      <c r="AJ19" s="26"/>
      <c r="AK19" s="26">
        <f t="shared" ca="1" si="6"/>
        <v>-25</v>
      </c>
      <c r="AL19" s="32">
        <f t="shared" ca="1" si="78"/>
        <v>-25</v>
      </c>
      <c r="AP19" s="42"/>
      <c r="AQ19" s="42"/>
      <c r="AR19" s="42"/>
      <c r="AS19" s="42"/>
      <c r="AT19" s="42"/>
      <c r="AU19" s="42"/>
      <c r="AV19" s="42"/>
      <c r="AW19" s="42"/>
      <c r="AX19" s="42"/>
      <c r="AY19" s="42"/>
      <c r="AZ19" s="42"/>
      <c r="BA19" s="42"/>
      <c r="BB19" s="42"/>
      <c r="BC19" s="42"/>
      <c r="BD19" s="42"/>
      <c r="BE19" s="42"/>
      <c r="BF19" s="42"/>
      <c r="BG19" s="42"/>
      <c r="BH19" s="42"/>
      <c r="BI19" s="42"/>
    </row>
    <row r="20" spans="1:61" x14ac:dyDescent="0.25">
      <c r="A20" s="477"/>
      <c r="B20" s="21" t="s">
        <v>89</v>
      </c>
      <c r="C20" s="1" t="str">
        <f t="shared" si="4"/>
        <v>3/5</v>
      </c>
      <c r="D20" s="1" t="str">
        <f>IF(IF((COUNTIF(Professional_Skill_Options,'Skill Workbook'!F20)&gt;0),INDEX(Professional_Skill_Choices,MATCH(F20,Professional_Skill_Options,0)),FALSE),"X","")</f>
        <v/>
      </c>
      <c r="E20" s="1" t="str">
        <f>IF(IF((COUNTIF(Professional_Skill_Options,'Skill Workbook'!F20)&gt;0),INDEX(Professional_Skill_Knacks,MATCH(F20,Professional_Skill_Options,0)),FALSE),"X","")</f>
        <v/>
      </c>
      <c r="F20" t="s">
        <v>816</v>
      </c>
      <c r="G20" s="194" t="s">
        <v>819</v>
      </c>
      <c r="H20" s="195"/>
      <c r="I20" s="1" t="s">
        <v>94</v>
      </c>
      <c r="J20" s="46"/>
      <c r="AE20" s="1">
        <f>SUM(K20:INDEX(K20:AD20,Level))+J20-IF(H20="",0,1)</f>
        <v>0</v>
      </c>
      <c r="AF20" s="26">
        <f t="shared" si="75"/>
        <v>-25</v>
      </c>
      <c r="AG20" s="26" cm="1">
        <f t="array" aca="1" ref="AG20" ca="1">IF(I20="NA",0,INDIRECT(LEFT(I20,2))+INDIRECT(MID(I20,4,2))+INDIRECT(RIGHT(I20,2)))</f>
        <v>0</v>
      </c>
      <c r="AH20" s="26">
        <f t="shared" si="76"/>
        <v>0</v>
      </c>
      <c r="AI20" s="26">
        <f t="shared" si="77"/>
        <v>0</v>
      </c>
      <c r="AJ20" s="26"/>
      <c r="AK20" s="26">
        <f t="shared" ca="1" si="6"/>
        <v>-25</v>
      </c>
      <c r="AL20" s="32">
        <f t="shared" ca="1" si="78"/>
        <v>-25</v>
      </c>
      <c r="AP20" s="42"/>
      <c r="AQ20" s="42"/>
      <c r="AR20" s="42"/>
      <c r="AS20" s="42"/>
      <c r="AT20" s="42"/>
      <c r="AU20" s="42"/>
      <c r="AV20" s="42"/>
      <c r="AW20" s="42"/>
      <c r="AX20" s="42"/>
      <c r="AY20" s="42"/>
      <c r="AZ20" s="42"/>
      <c r="BA20" s="42"/>
      <c r="BB20" s="42"/>
      <c r="BC20" s="42"/>
      <c r="BD20" s="42"/>
      <c r="BE20" s="42"/>
      <c r="BF20" s="42"/>
      <c r="BG20" s="42"/>
      <c r="BH20" s="42"/>
      <c r="BI20" s="42"/>
    </row>
    <row r="21" spans="1:61" x14ac:dyDescent="0.25">
      <c r="A21" s="477"/>
      <c r="B21" s="21" t="s">
        <v>89</v>
      </c>
      <c r="C21" s="1" t="str">
        <f t="shared" si="4"/>
        <v>3/5</v>
      </c>
      <c r="D21" s="1" t="str">
        <f>IF(IF((COUNTIF(Professional_Skill_Options,'Skill Workbook'!F21)&gt;0),INDEX(Professional_Skill_Choices,MATCH(F21,Professional_Skill_Options,0)),FALSE),"X","")</f>
        <v/>
      </c>
      <c r="E21" s="1" t="str">
        <f>IF(IF((COUNTIF(Professional_Skill_Options,'Skill Workbook'!F21)&gt;0),INDEX(Professional_Skill_Knacks,MATCH(F21,Professional_Skill_Options,0)),FALSE),"X","")</f>
        <v/>
      </c>
      <c r="F21" t="s">
        <v>816</v>
      </c>
      <c r="G21" s="194" t="s">
        <v>631</v>
      </c>
      <c r="H21" s="195"/>
      <c r="I21" s="1" t="s">
        <v>94</v>
      </c>
      <c r="J21" s="46"/>
      <c r="AE21" s="1">
        <f>SUM(K21:INDEX(K21:AD21,Level))+J21-IF(H21="",0,1)</f>
        <v>0</v>
      </c>
      <c r="AF21" s="26">
        <f t="shared" si="75"/>
        <v>-25</v>
      </c>
      <c r="AG21" s="26" cm="1">
        <f t="array" aca="1" ref="AG21" ca="1">IF(I21="NA",0,INDIRECT(LEFT(I21,2))+INDIRECT(MID(I21,4,2))+INDIRECT(RIGHT(I21,2)))</f>
        <v>0</v>
      </c>
      <c r="AH21" s="26">
        <f t="shared" si="76"/>
        <v>0</v>
      </c>
      <c r="AI21" s="26">
        <f t="shared" si="77"/>
        <v>0</v>
      </c>
      <c r="AJ21" s="26"/>
      <c r="AK21" s="26">
        <f t="shared" ca="1" si="6"/>
        <v>-25</v>
      </c>
      <c r="AL21" s="32">
        <f t="shared" ca="1" si="78"/>
        <v>-25</v>
      </c>
      <c r="AP21" s="42"/>
      <c r="AQ21" s="42"/>
      <c r="AR21" s="42"/>
      <c r="AS21" s="42"/>
      <c r="AT21" s="42"/>
      <c r="AU21" s="42"/>
      <c r="AV21" s="42"/>
      <c r="AW21" s="42"/>
      <c r="AX21" s="42"/>
      <c r="AY21" s="42"/>
      <c r="AZ21" s="42"/>
      <c r="BA21" s="42"/>
      <c r="BB21" s="42"/>
      <c r="BC21" s="42"/>
      <c r="BD21" s="42"/>
      <c r="BE21" s="42"/>
      <c r="BF21" s="42"/>
      <c r="BG21" s="42"/>
      <c r="BH21" s="42"/>
      <c r="BI21" s="42"/>
    </row>
    <row r="22" spans="1:61" x14ac:dyDescent="0.25">
      <c r="A22" s="477"/>
      <c r="B22" s="21" t="s">
        <v>89</v>
      </c>
      <c r="C22" s="1" t="str">
        <f t="shared" si="4"/>
        <v>3/5</v>
      </c>
      <c r="D22" s="1" t="str">
        <f>IF(IF((COUNTIF(Professional_Skill_Options,'Skill Workbook'!F22)&gt;0),INDEX(Professional_Skill_Choices,MATCH(F22,Professional_Skill_Options,0)),FALSE),"X","")</f>
        <v/>
      </c>
      <c r="E22" s="1" t="str">
        <f>IF(IF((COUNTIF(Professional_Skill_Options,'Skill Workbook'!F22)&gt;0),INDEX(Professional_Skill_Knacks,MATCH(F22,Professional_Skill_Options,0)),FALSE),"X","")</f>
        <v/>
      </c>
      <c r="F22" t="s">
        <v>816</v>
      </c>
      <c r="G22" s="194" t="s">
        <v>820</v>
      </c>
      <c r="H22" s="195"/>
      <c r="I22" s="1" t="s">
        <v>94</v>
      </c>
      <c r="J22" s="46"/>
      <c r="AE22" s="1">
        <f>SUM(K22:INDEX(K22:AD22,Level))+J22-IF(H22="",0,1)</f>
        <v>0</v>
      </c>
      <c r="AF22" s="26">
        <f t="shared" ref="AF22:AF25" si="79">IF(AE22&gt;30,100+AE22,VLOOKUP(AE22,Rank_Bonus,2,FALSE))</f>
        <v>-25</v>
      </c>
      <c r="AG22" s="26" cm="1">
        <f t="array" aca="1" ref="AG22" ca="1">IF(I22="NA",0,INDIRECT(LEFT(I22,2))+INDIRECT(MID(I22,4,2))+INDIRECT(RIGHT(I22,2)))</f>
        <v>0</v>
      </c>
      <c r="AH22" s="26">
        <f t="shared" ref="AH22:AH25" si="80">IF(D22="X",MIN(30,AE22),0)</f>
        <v>0</v>
      </c>
      <c r="AI22" s="26">
        <f t="shared" ref="AI22:AI25" si="81">IF(E22="X",5,0)</f>
        <v>0</v>
      </c>
      <c r="AJ22" s="26"/>
      <c r="AK22" s="26">
        <f t="shared" ca="1" si="6"/>
        <v>-25</v>
      </c>
      <c r="AL22" s="32">
        <f t="shared" ref="AL22:AL25" ca="1" si="82">ROUND(SUM(AF22:AJ22),0)</f>
        <v>-25</v>
      </c>
      <c r="AP22" s="42"/>
      <c r="AQ22" s="42"/>
      <c r="AR22" s="42"/>
      <c r="AS22" s="42"/>
      <c r="AT22" s="42"/>
      <c r="AU22" s="42"/>
      <c r="AV22" s="42"/>
      <c r="AW22" s="42"/>
      <c r="AX22" s="42"/>
      <c r="AY22" s="42"/>
      <c r="AZ22" s="42"/>
      <c r="BA22" s="42"/>
      <c r="BB22" s="42"/>
      <c r="BC22" s="42"/>
      <c r="BD22" s="42"/>
      <c r="BE22" s="42"/>
      <c r="BF22" s="42"/>
      <c r="BG22" s="42"/>
      <c r="BH22" s="42"/>
      <c r="BI22" s="42"/>
    </row>
    <row r="23" spans="1:61" x14ac:dyDescent="0.25">
      <c r="A23" s="477"/>
      <c r="B23" s="21" t="s">
        <v>89</v>
      </c>
      <c r="C23" s="1" t="str">
        <f t="shared" si="4"/>
        <v>3/5</v>
      </c>
      <c r="D23" s="1" t="str">
        <f>IF(IF((COUNTIF(Professional_Skill_Options,'Skill Workbook'!F23)&gt;0),INDEX(Professional_Skill_Choices,MATCH(F23,Professional_Skill_Options,0)),FALSE),"X","")</f>
        <v/>
      </c>
      <c r="E23" s="1" t="str">
        <f>IF(IF((COUNTIF(Professional_Skill_Options,'Skill Workbook'!F23)&gt;0),INDEX(Professional_Skill_Knacks,MATCH(F23,Professional_Skill_Options,0)),FALSE),"X","")</f>
        <v/>
      </c>
      <c r="F23" t="s">
        <v>816</v>
      </c>
      <c r="G23" s="194" t="s">
        <v>821</v>
      </c>
      <c r="H23" s="195"/>
      <c r="I23" s="1" t="s">
        <v>94</v>
      </c>
      <c r="J23" s="46"/>
      <c r="AE23" s="1">
        <f>SUM(K23:INDEX(K23:AD23,Level))+J23-IF(H23="",0,1)</f>
        <v>0</v>
      </c>
      <c r="AF23" s="26">
        <f t="shared" si="79"/>
        <v>-25</v>
      </c>
      <c r="AG23" s="26" cm="1">
        <f t="array" aca="1" ref="AG23" ca="1">IF(I23="NA",0,INDIRECT(LEFT(I23,2))+INDIRECT(MID(I23,4,2))+INDIRECT(RIGHT(I23,2)))</f>
        <v>0</v>
      </c>
      <c r="AH23" s="26">
        <f t="shared" si="80"/>
        <v>0</v>
      </c>
      <c r="AI23" s="26">
        <f t="shared" si="81"/>
        <v>0</v>
      </c>
      <c r="AJ23" s="26"/>
      <c r="AK23" s="26">
        <f t="shared" ca="1" si="6"/>
        <v>-25</v>
      </c>
      <c r="AL23" s="32">
        <f t="shared" ca="1" si="82"/>
        <v>-25</v>
      </c>
      <c r="AP23" s="42"/>
      <c r="AQ23" s="42"/>
      <c r="AR23" s="42"/>
      <c r="AS23" s="42"/>
      <c r="AT23" s="42"/>
      <c r="AU23" s="42"/>
      <c r="AV23" s="42"/>
      <c r="AW23" s="42"/>
      <c r="AX23" s="42"/>
      <c r="AY23" s="42"/>
      <c r="AZ23" s="42"/>
      <c r="BA23" s="42"/>
      <c r="BB23" s="42"/>
      <c r="BC23" s="42"/>
      <c r="BD23" s="42"/>
      <c r="BE23" s="42"/>
      <c r="BF23" s="42"/>
      <c r="BG23" s="42"/>
      <c r="BH23" s="42"/>
      <c r="BI23" s="42"/>
    </row>
    <row r="24" spans="1:61" x14ac:dyDescent="0.25">
      <c r="A24" s="477"/>
      <c r="B24" s="21" t="s">
        <v>89</v>
      </c>
      <c r="C24" s="1" t="str">
        <f t="shared" si="4"/>
        <v>3/5</v>
      </c>
      <c r="D24" s="1" t="str">
        <f>IF(IF((COUNTIF(Professional_Skill_Options,'Skill Workbook'!F24)&gt;0),INDEX(Professional_Skill_Choices,MATCH(F24,Professional_Skill_Options,0)),FALSE),"X","")</f>
        <v/>
      </c>
      <c r="E24" s="1" t="str">
        <f>IF(IF((COUNTIF(Professional_Skill_Options,'Skill Workbook'!F24)&gt;0),INDEX(Professional_Skill_Knacks,MATCH(F24,Professional_Skill_Options,0)),FALSE),"X","")</f>
        <v/>
      </c>
      <c r="F24" t="s">
        <v>816</v>
      </c>
      <c r="G24" s="194" t="s">
        <v>822</v>
      </c>
      <c r="H24" s="195"/>
      <c r="I24" s="1" t="s">
        <v>94</v>
      </c>
      <c r="J24" s="46"/>
      <c r="AE24" s="1">
        <f>SUM(K24:INDEX(K24:AD24,Level))+J24-IF(H24="",0,1)</f>
        <v>0</v>
      </c>
      <c r="AF24" s="26">
        <f t="shared" si="79"/>
        <v>-25</v>
      </c>
      <c r="AG24" s="26" cm="1">
        <f t="array" aca="1" ref="AG24" ca="1">IF(I24="NA",0,INDIRECT(LEFT(I24,2))+INDIRECT(MID(I24,4,2))+INDIRECT(RIGHT(I24,2)))</f>
        <v>0</v>
      </c>
      <c r="AH24" s="26">
        <f t="shared" si="80"/>
        <v>0</v>
      </c>
      <c r="AI24" s="26">
        <f t="shared" si="81"/>
        <v>0</v>
      </c>
      <c r="AJ24" s="26"/>
      <c r="AK24" s="26">
        <f t="shared" ca="1" si="6"/>
        <v>-25</v>
      </c>
      <c r="AL24" s="32">
        <f t="shared" ca="1" si="82"/>
        <v>-25</v>
      </c>
      <c r="AP24" s="42"/>
      <c r="AQ24" s="42"/>
      <c r="AR24" s="42"/>
      <c r="AS24" s="42"/>
      <c r="AT24" s="42"/>
      <c r="AU24" s="42"/>
      <c r="AV24" s="42"/>
      <c r="AW24" s="42"/>
      <c r="AX24" s="42"/>
      <c r="AY24" s="42"/>
      <c r="AZ24" s="42"/>
      <c r="BA24" s="42"/>
      <c r="BB24" s="42"/>
      <c r="BC24" s="42"/>
      <c r="BD24" s="42"/>
      <c r="BE24" s="42"/>
      <c r="BF24" s="42"/>
      <c r="BG24" s="42"/>
      <c r="BH24" s="42"/>
      <c r="BI24" s="42"/>
    </row>
    <row r="25" spans="1:61" x14ac:dyDescent="0.25">
      <c r="A25" s="477"/>
      <c r="B25" s="21" t="s">
        <v>89</v>
      </c>
      <c r="C25" s="1" t="str">
        <f t="shared" si="4"/>
        <v>3/5</v>
      </c>
      <c r="D25" s="1" t="str">
        <f>IF(IF((COUNTIF(Professional_Skill_Options,'Skill Workbook'!F25)&gt;0),INDEX(Professional_Skill_Choices,MATCH(F25,Professional_Skill_Options,0)),FALSE),"X","")</f>
        <v/>
      </c>
      <c r="E25" s="1" t="str">
        <f>IF(IF((COUNTIF(Professional_Skill_Options,'Skill Workbook'!F25)&gt;0),INDEX(Professional_Skill_Knacks,MATCH(F25,Professional_Skill_Options,0)),FALSE),"X","")</f>
        <v/>
      </c>
      <c r="F25" t="s">
        <v>816</v>
      </c>
      <c r="G25" s="194" t="s">
        <v>823</v>
      </c>
      <c r="H25" s="195"/>
      <c r="I25" s="1" t="s">
        <v>94</v>
      </c>
      <c r="J25" s="46"/>
      <c r="AE25" s="1">
        <f>SUM(K25:INDEX(K25:AD25,Level))+J25-IF(H25="",0,1)</f>
        <v>0</v>
      </c>
      <c r="AF25" s="26">
        <f t="shared" si="79"/>
        <v>-25</v>
      </c>
      <c r="AG25" s="26" cm="1">
        <f t="array" aca="1" ref="AG25" ca="1">IF(I25="NA",0,INDIRECT(LEFT(I25,2))+INDIRECT(MID(I25,4,2))+INDIRECT(RIGHT(I25,2)))</f>
        <v>0</v>
      </c>
      <c r="AH25" s="26">
        <f t="shared" si="80"/>
        <v>0</v>
      </c>
      <c r="AI25" s="26">
        <f t="shared" si="81"/>
        <v>0</v>
      </c>
      <c r="AJ25" s="26"/>
      <c r="AK25" s="26">
        <f t="shared" ca="1" si="6"/>
        <v>-25</v>
      </c>
      <c r="AL25" s="32">
        <f t="shared" ca="1" si="82"/>
        <v>-25</v>
      </c>
      <c r="AP25" s="42"/>
      <c r="AQ25" s="42"/>
      <c r="AR25" s="42"/>
      <c r="AS25" s="42"/>
      <c r="AT25" s="42"/>
      <c r="AU25" s="42"/>
      <c r="AV25" s="42"/>
      <c r="AW25" s="42"/>
      <c r="AX25" s="42"/>
      <c r="AY25" s="42"/>
      <c r="AZ25" s="42"/>
      <c r="BA25" s="42"/>
      <c r="BB25" s="42"/>
      <c r="BC25" s="42"/>
      <c r="BD25" s="42"/>
      <c r="BE25" s="42"/>
      <c r="BF25" s="42"/>
      <c r="BG25" s="42"/>
      <c r="BH25" s="42"/>
      <c r="BI25" s="42"/>
    </row>
    <row r="26" spans="1:61" x14ac:dyDescent="0.25">
      <c r="A26" s="477"/>
      <c r="B26" s="21" t="s">
        <v>89</v>
      </c>
      <c r="C26" s="1" t="str">
        <f t="shared" si="4"/>
        <v>3/5</v>
      </c>
      <c r="D26" s="1" t="str">
        <f>IF(IF((COUNTIF(Professional_Skill_Options,'Skill Workbook'!F26)&gt;0),INDEX(Professional_Skill_Choices,MATCH(F26,Professional_Skill_Options,0)),FALSE),"X","")</f>
        <v/>
      </c>
      <c r="E26" s="1" t="str">
        <f>IF(IF((COUNTIF(Professional_Skill_Options,'Skill Workbook'!F26)&gt;0),INDEX(Professional_Skill_Knacks,MATCH(F26,Professional_Skill_Options,0)),FALSE),"X","")</f>
        <v/>
      </c>
      <c r="F26" t="s">
        <v>300</v>
      </c>
      <c r="G26" s="196"/>
      <c r="H26" s="198"/>
      <c r="I26" s="1" t="s">
        <v>94</v>
      </c>
      <c r="J26" s="1">
        <f>'Base Details'!V103</f>
        <v>0</v>
      </c>
      <c r="AE26" s="1">
        <f>SUM(K26:INDEX(K26:AD26,Level))+J26-IF(H26="",0,1)</f>
        <v>0</v>
      </c>
      <c r="AF26" s="26">
        <f t="shared" si="5"/>
        <v>-25</v>
      </c>
      <c r="AG26" s="26" cm="1">
        <f t="array" aca="1" ref="AG26" ca="1">IF(I26="NA",0,INDIRECT(LEFT(I26,2))+INDIRECT(MID(I26,4,2))+INDIRECT(RIGHT(I26,2)))</f>
        <v>0</v>
      </c>
      <c r="AH26" s="26">
        <f t="shared" si="27"/>
        <v>0</v>
      </c>
      <c r="AI26" s="26">
        <f t="shared" si="28"/>
        <v>0</v>
      </c>
      <c r="AJ26" s="26"/>
      <c r="AK26" s="26">
        <f t="shared" ca="1" si="6"/>
        <v>-25</v>
      </c>
      <c r="AL26" s="32">
        <f t="shared" ca="1" si="29"/>
        <v>-25</v>
      </c>
      <c r="AP26" s="42">
        <f t="shared" si="7"/>
        <v>0</v>
      </c>
      <c r="AQ26" s="42">
        <f t="shared" si="8"/>
        <v>0</v>
      </c>
      <c r="AR26" s="42">
        <f t="shared" si="9"/>
        <v>0</v>
      </c>
      <c r="AS26" s="42">
        <f t="shared" si="10"/>
        <v>0</v>
      </c>
      <c r="AT26" s="42">
        <f t="shared" si="11"/>
        <v>0</v>
      </c>
      <c r="AU26" s="42">
        <f t="shared" si="12"/>
        <v>0</v>
      </c>
      <c r="AV26" s="42">
        <f t="shared" si="13"/>
        <v>0</v>
      </c>
      <c r="AW26" s="42">
        <f t="shared" si="14"/>
        <v>0</v>
      </c>
      <c r="AX26" s="42">
        <f t="shared" si="15"/>
        <v>0</v>
      </c>
      <c r="AY26" s="42">
        <f t="shared" si="16"/>
        <v>0</v>
      </c>
      <c r="AZ26" s="42">
        <f t="shared" si="17"/>
        <v>0</v>
      </c>
      <c r="BA26" s="42">
        <f t="shared" si="18"/>
        <v>0</v>
      </c>
      <c r="BB26" s="42">
        <f t="shared" si="19"/>
        <v>0</v>
      </c>
      <c r="BC26" s="42">
        <f t="shared" si="20"/>
        <v>0</v>
      </c>
      <c r="BD26" s="42">
        <f t="shared" si="21"/>
        <v>0</v>
      </c>
      <c r="BE26" s="42">
        <f t="shared" si="22"/>
        <v>0</v>
      </c>
      <c r="BF26" s="42">
        <f t="shared" si="23"/>
        <v>0</v>
      </c>
      <c r="BG26" s="42">
        <f t="shared" si="24"/>
        <v>0</v>
      </c>
      <c r="BH26" s="42">
        <f t="shared" si="25"/>
        <v>0</v>
      </c>
      <c r="BI26" s="42">
        <f t="shared" si="26"/>
        <v>0</v>
      </c>
    </row>
    <row r="27" spans="1:61" x14ac:dyDescent="0.25">
      <c r="A27" s="477"/>
      <c r="B27" s="21" t="s">
        <v>89</v>
      </c>
      <c r="C27" s="1" t="str">
        <f t="shared" si="4"/>
        <v>3/5</v>
      </c>
      <c r="D27" s="1" t="str">
        <f>IF(IF((COUNTIF(Professional_Skill_Options,'Skill Workbook'!F27)&gt;0),INDEX(Professional_Skill_Choices,MATCH(F27,Professional_Skill_Options,0)),FALSE),"X","")</f>
        <v/>
      </c>
      <c r="E27" s="1" t="str">
        <f>IF(IF((COUNTIF(Professional_Skill_Options,'Skill Workbook'!F27)&gt;0),INDEX(Professional_Skill_Knacks,MATCH(F27,Professional_Skill_Options,0)),FALSE),"X","")</f>
        <v/>
      </c>
      <c r="F27" t="s">
        <v>90</v>
      </c>
      <c r="G27" s="196"/>
      <c r="H27" s="198"/>
      <c r="I27" s="1" t="s">
        <v>94</v>
      </c>
      <c r="J27" s="46"/>
      <c r="AE27" s="1">
        <f>SUM(K27:INDEX(K27:AD27,Level))+J27-IF(H27="",0,1)</f>
        <v>0</v>
      </c>
      <c r="AF27" s="26">
        <f t="shared" si="5"/>
        <v>-25</v>
      </c>
      <c r="AG27" s="26" cm="1">
        <f t="array" aca="1" ref="AG27" ca="1">IF(I27="NA",0,INDIRECT(LEFT(I27,2))+INDIRECT(MID(I27,4,2))+INDIRECT(RIGHT(I27,2)))</f>
        <v>0</v>
      </c>
      <c r="AH27" s="26">
        <f t="shared" si="27"/>
        <v>0</v>
      </c>
      <c r="AI27" s="26">
        <f t="shared" si="28"/>
        <v>0</v>
      </c>
      <c r="AJ27" s="26"/>
      <c r="AK27" s="26">
        <f t="shared" ca="1" si="6"/>
        <v>-25</v>
      </c>
      <c r="AL27" s="32">
        <f t="shared" ca="1" si="29"/>
        <v>-25</v>
      </c>
      <c r="AP27" s="42">
        <f t="shared" si="7"/>
        <v>0</v>
      </c>
      <c r="AQ27" s="42">
        <f t="shared" si="8"/>
        <v>0</v>
      </c>
      <c r="AR27" s="42">
        <f t="shared" si="9"/>
        <v>0</v>
      </c>
      <c r="AS27" s="42">
        <f t="shared" si="10"/>
        <v>0</v>
      </c>
      <c r="AT27" s="42">
        <f t="shared" si="11"/>
        <v>0</v>
      </c>
      <c r="AU27" s="42">
        <f t="shared" si="12"/>
        <v>0</v>
      </c>
      <c r="AV27" s="42">
        <f t="shared" si="13"/>
        <v>0</v>
      </c>
      <c r="AW27" s="42">
        <f t="shared" si="14"/>
        <v>0</v>
      </c>
      <c r="AX27" s="42">
        <f t="shared" si="15"/>
        <v>0</v>
      </c>
      <c r="AY27" s="42">
        <f t="shared" si="16"/>
        <v>0</v>
      </c>
      <c r="AZ27" s="42">
        <f t="shared" si="17"/>
        <v>0</v>
      </c>
      <c r="BA27" s="42">
        <f t="shared" si="18"/>
        <v>0</v>
      </c>
      <c r="BB27" s="42">
        <f t="shared" si="19"/>
        <v>0</v>
      </c>
      <c r="BC27" s="42">
        <f t="shared" si="20"/>
        <v>0</v>
      </c>
      <c r="BD27" s="42">
        <f t="shared" si="21"/>
        <v>0</v>
      </c>
      <c r="BE27" s="42">
        <f t="shared" si="22"/>
        <v>0</v>
      </c>
      <c r="BF27" s="42">
        <f t="shared" si="23"/>
        <v>0</v>
      </c>
      <c r="BG27" s="42">
        <f t="shared" si="24"/>
        <v>0</v>
      </c>
      <c r="BH27" s="42">
        <f t="shared" si="25"/>
        <v>0</v>
      </c>
      <c r="BI27" s="42">
        <f t="shared" si="26"/>
        <v>0</v>
      </c>
    </row>
    <row r="28" spans="1:61" x14ac:dyDescent="0.25">
      <c r="A28" s="477"/>
      <c r="B28" s="21" t="s">
        <v>89</v>
      </c>
      <c r="C28" s="1" t="str">
        <f t="shared" si="4"/>
        <v>3/5</v>
      </c>
      <c r="D28" s="1" t="str">
        <f>IF(IF((COUNTIF(Professional_Skill_Options,'Skill Workbook'!F28)&gt;0),INDEX(Professional_Skill_Choices,MATCH(F28,Professional_Skill_Options,0)),FALSE),"X","")</f>
        <v/>
      </c>
      <c r="E28" s="1" t="str">
        <f>IF(IF((COUNTIF(Professional_Skill_Options,'Skill Workbook'!F28)&gt;0),INDEX(Professional_Skill_Knacks,MATCH(F28,Professional_Skill_Options,0)),FALSE),"X","")</f>
        <v/>
      </c>
      <c r="F28" t="s">
        <v>91</v>
      </c>
      <c r="G28" s="196"/>
      <c r="H28" s="198"/>
      <c r="I28" s="1" t="s">
        <v>94</v>
      </c>
      <c r="J28" s="46"/>
      <c r="AE28" s="1">
        <f>SUM(K28:INDEX(K28:AD28,Level))+J28-IF(H28="",0,1)</f>
        <v>0</v>
      </c>
      <c r="AF28" s="26">
        <f t="shared" si="5"/>
        <v>-25</v>
      </c>
      <c r="AG28" s="26" cm="1">
        <f t="array" aca="1" ref="AG28" ca="1">IF(I28="NA",0,INDIRECT(LEFT(I28,2))+INDIRECT(MID(I28,4,2))+INDIRECT(RIGHT(I28,2)))</f>
        <v>0</v>
      </c>
      <c r="AH28" s="26">
        <f t="shared" si="27"/>
        <v>0</v>
      </c>
      <c r="AI28" s="26">
        <f t="shared" si="28"/>
        <v>0</v>
      </c>
      <c r="AJ28" s="26"/>
      <c r="AK28" s="26">
        <f t="shared" ca="1" si="6"/>
        <v>-25</v>
      </c>
      <c r="AL28" s="32">
        <f t="shared" ca="1" si="29"/>
        <v>-25</v>
      </c>
      <c r="AP28" s="42">
        <f t="shared" si="7"/>
        <v>0</v>
      </c>
      <c r="AQ28" s="42">
        <f t="shared" si="8"/>
        <v>0</v>
      </c>
      <c r="AR28" s="42">
        <f t="shared" si="9"/>
        <v>0</v>
      </c>
      <c r="AS28" s="42">
        <f t="shared" si="10"/>
        <v>0</v>
      </c>
      <c r="AT28" s="42">
        <f t="shared" si="11"/>
        <v>0</v>
      </c>
      <c r="AU28" s="42">
        <f t="shared" si="12"/>
        <v>0</v>
      </c>
      <c r="AV28" s="42">
        <f t="shared" si="13"/>
        <v>0</v>
      </c>
      <c r="AW28" s="42">
        <f t="shared" si="14"/>
        <v>0</v>
      </c>
      <c r="AX28" s="42">
        <f t="shared" si="15"/>
        <v>0</v>
      </c>
      <c r="AY28" s="42">
        <f t="shared" si="16"/>
        <v>0</v>
      </c>
      <c r="AZ28" s="42">
        <f t="shared" si="17"/>
        <v>0</v>
      </c>
      <c r="BA28" s="42">
        <f t="shared" si="18"/>
        <v>0</v>
      </c>
      <c r="BB28" s="42">
        <f t="shared" si="19"/>
        <v>0</v>
      </c>
      <c r="BC28" s="42">
        <f t="shared" si="20"/>
        <v>0</v>
      </c>
      <c r="BD28" s="42">
        <f t="shared" si="21"/>
        <v>0</v>
      </c>
      <c r="BE28" s="42">
        <f t="shared" si="22"/>
        <v>0</v>
      </c>
      <c r="BF28" s="42">
        <f t="shared" si="23"/>
        <v>0</v>
      </c>
      <c r="BG28" s="42">
        <f t="shared" si="24"/>
        <v>0</v>
      </c>
      <c r="BH28" s="42">
        <f t="shared" si="25"/>
        <v>0</v>
      </c>
      <c r="BI28" s="42">
        <f t="shared" si="26"/>
        <v>0</v>
      </c>
    </row>
    <row r="29" spans="1:61" x14ac:dyDescent="0.25">
      <c r="A29" s="477"/>
      <c r="B29" s="21" t="s">
        <v>89</v>
      </c>
      <c r="C29" s="1" t="str">
        <f t="shared" si="4"/>
        <v>3/5</v>
      </c>
      <c r="D29" s="1" t="str">
        <f>IF(IF((COUNTIF(Professional_Skill_Options,'Skill Workbook'!F29)&gt;0),INDEX(Professional_Skill_Choices,MATCH(F29,Professional_Skill_Options,0)),FALSE),"X","")</f>
        <v/>
      </c>
      <c r="E29" s="1" t="str">
        <f>IF(IF((COUNTIF(Professional_Skill_Options,'Skill Workbook'!F29)&gt;0),INDEX(Professional_Skill_Knacks,MATCH(F29,Professional_Skill_Options,0)),FALSE),"X","")</f>
        <v/>
      </c>
      <c r="F29" t="s">
        <v>92</v>
      </c>
      <c r="G29" s="196"/>
      <c r="H29" s="198"/>
      <c r="I29" s="1" t="s">
        <v>94</v>
      </c>
      <c r="J29" s="46"/>
      <c r="AE29" s="1">
        <f>SUM(K29:INDEX(K29:AD29,Level))+J29-IF(H29="",0,1)</f>
        <v>0</v>
      </c>
      <c r="AF29" s="26">
        <f t="shared" si="5"/>
        <v>-25</v>
      </c>
      <c r="AG29" s="26" cm="1">
        <f t="array" aca="1" ref="AG29" ca="1">IF(I29="NA",0,INDIRECT(LEFT(I29,2))+INDIRECT(MID(I29,4,2))+INDIRECT(RIGHT(I29,2)))</f>
        <v>0</v>
      </c>
      <c r="AH29" s="26">
        <f t="shared" si="27"/>
        <v>0</v>
      </c>
      <c r="AI29" s="26">
        <f t="shared" si="28"/>
        <v>0</v>
      </c>
      <c r="AJ29" s="26"/>
      <c r="AK29" s="26">
        <f t="shared" ca="1" si="6"/>
        <v>-25</v>
      </c>
      <c r="AL29" s="32">
        <f t="shared" ca="1" si="29"/>
        <v>-25</v>
      </c>
      <c r="AP29" s="42">
        <f t="shared" si="7"/>
        <v>0</v>
      </c>
      <c r="AQ29" s="42">
        <f t="shared" si="8"/>
        <v>0</v>
      </c>
      <c r="AR29" s="42">
        <f t="shared" si="9"/>
        <v>0</v>
      </c>
      <c r="AS29" s="42">
        <f t="shared" si="10"/>
        <v>0</v>
      </c>
      <c r="AT29" s="42">
        <f t="shared" si="11"/>
        <v>0</v>
      </c>
      <c r="AU29" s="42">
        <f t="shared" si="12"/>
        <v>0</v>
      </c>
      <c r="AV29" s="42">
        <f t="shared" si="13"/>
        <v>0</v>
      </c>
      <c r="AW29" s="42">
        <f t="shared" si="14"/>
        <v>0</v>
      </c>
      <c r="AX29" s="42">
        <f t="shared" si="15"/>
        <v>0</v>
      </c>
      <c r="AY29" s="42">
        <f t="shared" si="16"/>
        <v>0</v>
      </c>
      <c r="AZ29" s="42">
        <f t="shared" si="17"/>
        <v>0</v>
      </c>
      <c r="BA29" s="42">
        <f t="shared" si="18"/>
        <v>0</v>
      </c>
      <c r="BB29" s="42">
        <f t="shared" si="19"/>
        <v>0</v>
      </c>
      <c r="BC29" s="42">
        <f t="shared" si="20"/>
        <v>0</v>
      </c>
      <c r="BD29" s="42">
        <f t="shared" si="21"/>
        <v>0</v>
      </c>
      <c r="BE29" s="42">
        <f t="shared" si="22"/>
        <v>0</v>
      </c>
      <c r="BF29" s="42">
        <f t="shared" si="23"/>
        <v>0</v>
      </c>
      <c r="BG29" s="42">
        <f t="shared" si="24"/>
        <v>0</v>
      </c>
      <c r="BH29" s="42">
        <f t="shared" si="25"/>
        <v>0</v>
      </c>
      <c r="BI29" s="42">
        <f t="shared" si="26"/>
        <v>0</v>
      </c>
    </row>
    <row r="30" spans="1:61" x14ac:dyDescent="0.25">
      <c r="A30" s="477"/>
      <c r="B30" s="21" t="s">
        <v>89</v>
      </c>
      <c r="C30" s="1" t="str">
        <f t="shared" si="4"/>
        <v>3/5</v>
      </c>
      <c r="D30" s="1" t="str">
        <f>IF(IF((COUNTIF(Professional_Skill_Options,'Skill Workbook'!F30)&gt;0),INDEX(Professional_Skill_Choices,MATCH(F30,Professional_Skill_Options,0)),FALSE),"X","")</f>
        <v/>
      </c>
      <c r="E30" s="1" t="str">
        <f>IF(IF((COUNTIF(Professional_Skill_Options,'Skill Workbook'!F30)&gt;0),INDEX(Professional_Skill_Knacks,MATCH(F30,Professional_Skill_Options,0)),FALSE),"X","")</f>
        <v/>
      </c>
      <c r="F30" t="s">
        <v>93</v>
      </c>
      <c r="G30" s="196"/>
      <c r="H30" s="198"/>
      <c r="I30" s="1" t="s">
        <v>94</v>
      </c>
      <c r="J30" s="46"/>
      <c r="AE30" s="1">
        <f>SUM(K30:INDEX(K30:AD30,Level))+J30-IF(H30="",0,1)</f>
        <v>0</v>
      </c>
      <c r="AF30" s="26">
        <f t="shared" si="5"/>
        <v>-25</v>
      </c>
      <c r="AG30" s="26" cm="1">
        <f t="array" aca="1" ref="AG30" ca="1">IF(I30="NA",0,INDIRECT(LEFT(I30,2))+INDIRECT(MID(I30,4,2))+INDIRECT(RIGHT(I30,2)))</f>
        <v>0</v>
      </c>
      <c r="AH30" s="26">
        <f t="shared" si="27"/>
        <v>0</v>
      </c>
      <c r="AI30" s="26">
        <f t="shared" si="28"/>
        <v>0</v>
      </c>
      <c r="AJ30" s="26"/>
      <c r="AK30" s="26">
        <f t="shared" ca="1" si="6"/>
        <v>-25</v>
      </c>
      <c r="AL30" s="32">
        <f t="shared" ca="1" si="29"/>
        <v>-25</v>
      </c>
      <c r="AP30" s="42">
        <f t="shared" si="7"/>
        <v>0</v>
      </c>
      <c r="AQ30" s="42">
        <f t="shared" si="8"/>
        <v>0</v>
      </c>
      <c r="AR30" s="42">
        <f t="shared" si="9"/>
        <v>0</v>
      </c>
      <c r="AS30" s="42">
        <f t="shared" si="10"/>
        <v>0</v>
      </c>
      <c r="AT30" s="42">
        <f t="shared" si="11"/>
        <v>0</v>
      </c>
      <c r="AU30" s="42">
        <f t="shared" si="12"/>
        <v>0</v>
      </c>
      <c r="AV30" s="42">
        <f t="shared" si="13"/>
        <v>0</v>
      </c>
      <c r="AW30" s="42">
        <f t="shared" si="14"/>
        <v>0</v>
      </c>
      <c r="AX30" s="42">
        <f t="shared" si="15"/>
        <v>0</v>
      </c>
      <c r="AY30" s="42">
        <f t="shared" si="16"/>
        <v>0</v>
      </c>
      <c r="AZ30" s="42">
        <f t="shared" si="17"/>
        <v>0</v>
      </c>
      <c r="BA30" s="42">
        <f t="shared" si="18"/>
        <v>0</v>
      </c>
      <c r="BB30" s="42">
        <f t="shared" si="19"/>
        <v>0</v>
      </c>
      <c r="BC30" s="42">
        <f t="shared" si="20"/>
        <v>0</v>
      </c>
      <c r="BD30" s="42">
        <f t="shared" si="21"/>
        <v>0</v>
      </c>
      <c r="BE30" s="42">
        <f t="shared" si="22"/>
        <v>0</v>
      </c>
      <c r="BF30" s="42">
        <f t="shared" si="23"/>
        <v>0</v>
      </c>
      <c r="BG30" s="42">
        <f t="shared" si="24"/>
        <v>0</v>
      </c>
      <c r="BH30" s="42">
        <f t="shared" si="25"/>
        <v>0</v>
      </c>
      <c r="BI30" s="42">
        <f t="shared" si="26"/>
        <v>0</v>
      </c>
    </row>
    <row r="31" spans="1:61" x14ac:dyDescent="0.25">
      <c r="A31" s="477"/>
      <c r="B31" s="21" t="s">
        <v>95</v>
      </c>
      <c r="C31" s="1" t="str">
        <f t="shared" si="4"/>
        <v>4/6</v>
      </c>
      <c r="D31" s="1" t="str">
        <f>IF(IF((COUNTIF(Professional_Skill_Options,'Skill Workbook'!F31)&gt;0),INDEX(Professional_Skill_Choices,MATCH(F31,Professional_Skill_Options,0)),FALSE),"X","")</f>
        <v/>
      </c>
      <c r="E31" s="1" t="str">
        <f>IF(IF((COUNTIF(Professional_Skill_Options,'Skill Workbook'!F31)&gt;0),INDEX(Professional_Skill_Knacks,MATCH(F31,Professional_Skill_Options,0)),FALSE),"X","")</f>
        <v/>
      </c>
      <c r="F31" t="s">
        <v>96</v>
      </c>
      <c r="G31" s="196"/>
      <c r="H31" s="198"/>
      <c r="I31" s="1" t="s">
        <v>100</v>
      </c>
      <c r="J31" s="46"/>
      <c r="AE31" s="1">
        <f>SUM(K31:INDEX(K31:AD31,Level))+J31-IF(H31="",0,1)</f>
        <v>0</v>
      </c>
      <c r="AF31" s="26">
        <f t="shared" si="5"/>
        <v>-25</v>
      </c>
      <c r="AG31" s="26" t="e" cm="1">
        <f t="array" aca="1" ref="AG31" ca="1">IF(I31="NA",0,INDIRECT(LEFT(I31,2))+INDIRECT(MID(I31,4,2))+INDIRECT(RIGHT(I31,2)))</f>
        <v>#N/A</v>
      </c>
      <c r="AH31" s="26">
        <f t="shared" si="27"/>
        <v>0</v>
      </c>
      <c r="AI31" s="26">
        <f t="shared" si="28"/>
        <v>0</v>
      </c>
      <c r="AJ31" s="26"/>
      <c r="AK31" s="26" t="e">
        <f t="shared" ca="1" si="6"/>
        <v>#N/A</v>
      </c>
      <c r="AL31" s="32" t="e">
        <f t="shared" ca="1" si="29"/>
        <v>#N/A</v>
      </c>
      <c r="AP31" s="42">
        <f t="shared" si="7"/>
        <v>0</v>
      </c>
      <c r="AQ31" s="42">
        <f t="shared" si="8"/>
        <v>0</v>
      </c>
      <c r="AR31" s="42">
        <f t="shared" si="9"/>
        <v>0</v>
      </c>
      <c r="AS31" s="42">
        <f t="shared" si="10"/>
        <v>0</v>
      </c>
      <c r="AT31" s="42">
        <f t="shared" si="11"/>
        <v>0</v>
      </c>
      <c r="AU31" s="42">
        <f t="shared" si="12"/>
        <v>0</v>
      </c>
      <c r="AV31" s="42">
        <f t="shared" si="13"/>
        <v>0</v>
      </c>
      <c r="AW31" s="42">
        <f t="shared" si="14"/>
        <v>0</v>
      </c>
      <c r="AX31" s="42">
        <f t="shared" si="15"/>
        <v>0</v>
      </c>
      <c r="AY31" s="42">
        <f t="shared" si="16"/>
        <v>0</v>
      </c>
      <c r="AZ31" s="42">
        <f t="shared" si="17"/>
        <v>0</v>
      </c>
      <c r="BA31" s="42">
        <f t="shared" si="18"/>
        <v>0</v>
      </c>
      <c r="BB31" s="42">
        <f t="shared" si="19"/>
        <v>0</v>
      </c>
      <c r="BC31" s="42">
        <f t="shared" si="20"/>
        <v>0</v>
      </c>
      <c r="BD31" s="42">
        <f t="shared" si="21"/>
        <v>0</v>
      </c>
      <c r="BE31" s="42">
        <f t="shared" si="22"/>
        <v>0</v>
      </c>
      <c r="BF31" s="42">
        <f t="shared" si="23"/>
        <v>0</v>
      </c>
      <c r="BG31" s="42">
        <f t="shared" si="24"/>
        <v>0</v>
      </c>
      <c r="BH31" s="42">
        <f t="shared" si="25"/>
        <v>0</v>
      </c>
      <c r="BI31" s="42">
        <f t="shared" si="26"/>
        <v>0</v>
      </c>
    </row>
    <row r="32" spans="1:61" x14ac:dyDescent="0.25">
      <c r="A32" s="477"/>
      <c r="B32" s="21" t="s">
        <v>95</v>
      </c>
      <c r="C32" s="1" t="str">
        <f t="shared" si="4"/>
        <v>4/6</v>
      </c>
      <c r="D32" s="1" t="str">
        <f>IF(IF((COUNTIF(Professional_Skill_Options,'Skill Workbook'!F32)&gt;0),INDEX(Professional_Skill_Choices,MATCH(F32,Professional_Skill_Options,0)),FALSE),"X","")</f>
        <v/>
      </c>
      <c r="E32" s="1" t="str">
        <f>IF(IF((COUNTIF(Professional_Skill_Options,'Skill Workbook'!F32)&gt;0),INDEX(Professional_Skill_Knacks,MATCH(F32,Professional_Skill_Options,0)),FALSE),"X","")</f>
        <v/>
      </c>
      <c r="F32" t="s">
        <v>97</v>
      </c>
      <c r="G32" s="196"/>
      <c r="H32" s="198"/>
      <c r="I32" s="1" t="s">
        <v>101</v>
      </c>
      <c r="J32" s="46"/>
      <c r="AE32" s="1">
        <f>SUM(K32:INDEX(K32:AD32,Level))+J32-IF(H32="",0,1)</f>
        <v>0</v>
      </c>
      <c r="AF32" s="26">
        <f t="shared" si="5"/>
        <v>-25</v>
      </c>
      <c r="AG32" s="26" t="e" cm="1">
        <f t="array" aca="1" ref="AG32" ca="1">IF(I32="NA",0,INDIRECT(LEFT(I32,2))+INDIRECT(MID(I32,4,2))+INDIRECT(RIGHT(I32,2)))</f>
        <v>#N/A</v>
      </c>
      <c r="AH32" s="26">
        <f t="shared" si="27"/>
        <v>0</v>
      </c>
      <c r="AI32" s="26">
        <f t="shared" si="28"/>
        <v>0</v>
      </c>
      <c r="AJ32" s="26"/>
      <c r="AK32" s="26" t="e">
        <f t="shared" ca="1" si="6"/>
        <v>#N/A</v>
      </c>
      <c r="AL32" s="32" t="e">
        <f t="shared" ca="1" si="29"/>
        <v>#N/A</v>
      </c>
      <c r="AP32" s="42">
        <f t="shared" si="7"/>
        <v>0</v>
      </c>
      <c r="AQ32" s="42">
        <f t="shared" si="8"/>
        <v>0</v>
      </c>
      <c r="AR32" s="42">
        <f t="shared" si="9"/>
        <v>0</v>
      </c>
      <c r="AS32" s="42">
        <f t="shared" si="10"/>
        <v>0</v>
      </c>
      <c r="AT32" s="42">
        <f t="shared" si="11"/>
        <v>0</v>
      </c>
      <c r="AU32" s="42">
        <f t="shared" si="12"/>
        <v>0</v>
      </c>
      <c r="AV32" s="42">
        <f t="shared" si="13"/>
        <v>0</v>
      </c>
      <c r="AW32" s="42">
        <f t="shared" si="14"/>
        <v>0</v>
      </c>
      <c r="AX32" s="42">
        <f t="shared" si="15"/>
        <v>0</v>
      </c>
      <c r="AY32" s="42">
        <f t="shared" si="16"/>
        <v>0</v>
      </c>
      <c r="AZ32" s="42">
        <f t="shared" si="17"/>
        <v>0</v>
      </c>
      <c r="BA32" s="42">
        <f t="shared" si="18"/>
        <v>0</v>
      </c>
      <c r="BB32" s="42">
        <f t="shared" si="19"/>
        <v>0</v>
      </c>
      <c r="BC32" s="42">
        <f t="shared" si="20"/>
        <v>0</v>
      </c>
      <c r="BD32" s="42">
        <f t="shared" si="21"/>
        <v>0</v>
      </c>
      <c r="BE32" s="42">
        <f t="shared" si="22"/>
        <v>0</v>
      </c>
      <c r="BF32" s="42">
        <f t="shared" si="23"/>
        <v>0</v>
      </c>
      <c r="BG32" s="42">
        <f t="shared" si="24"/>
        <v>0</v>
      </c>
      <c r="BH32" s="42">
        <f t="shared" si="25"/>
        <v>0</v>
      </c>
      <c r="BI32" s="42">
        <f t="shared" si="26"/>
        <v>0</v>
      </c>
    </row>
    <row r="33" spans="1:61" x14ac:dyDescent="0.25">
      <c r="A33" s="477"/>
      <c r="B33" s="21" t="s">
        <v>95</v>
      </c>
      <c r="C33" s="1" t="str">
        <f t="shared" si="4"/>
        <v>4/6</v>
      </c>
      <c r="D33" s="1" t="str">
        <f>IF(IF((COUNTIF(Professional_Skill_Options,'Skill Workbook'!F33)&gt;0),INDEX(Professional_Skill_Choices,MATCH(F33,Professional_Skill_Options,0)),FALSE),"X","")</f>
        <v/>
      </c>
      <c r="E33" s="1" t="str">
        <f>IF(IF((COUNTIF(Professional_Skill_Options,'Skill Workbook'!F33)&gt;0),INDEX(Professional_Skill_Knacks,MATCH(F33,Professional_Skill_Options,0)),FALSE),"X","")</f>
        <v/>
      </c>
      <c r="F33" t="s">
        <v>98</v>
      </c>
      <c r="G33" s="196"/>
      <c r="H33" s="198"/>
      <c r="I33" s="1" t="s">
        <v>102</v>
      </c>
      <c r="J33" s="46"/>
      <c r="AE33" s="1">
        <f>SUM(K33:INDEX(K33:AD33,Level))+J33-IF(H33="",0,1)</f>
        <v>0</v>
      </c>
      <c r="AF33" s="26">
        <f t="shared" si="5"/>
        <v>-25</v>
      </c>
      <c r="AG33" s="26" t="e" cm="1">
        <f t="array" aca="1" ref="AG33" ca="1">IF(I33="NA",0,INDIRECT(LEFT(I33,2))+INDIRECT(MID(I33,4,2))+INDIRECT(RIGHT(I33,2)))</f>
        <v>#N/A</v>
      </c>
      <c r="AH33" s="26">
        <f t="shared" si="27"/>
        <v>0</v>
      </c>
      <c r="AI33" s="26">
        <f t="shared" si="28"/>
        <v>0</v>
      </c>
      <c r="AJ33" s="26"/>
      <c r="AK33" s="26" t="e">
        <f t="shared" ca="1" si="6"/>
        <v>#N/A</v>
      </c>
      <c r="AL33" s="32" t="e">
        <f t="shared" ca="1" si="29"/>
        <v>#N/A</v>
      </c>
      <c r="AP33" s="42">
        <f t="shared" si="7"/>
        <v>0</v>
      </c>
      <c r="AQ33" s="42">
        <f t="shared" si="8"/>
        <v>0</v>
      </c>
      <c r="AR33" s="42">
        <f t="shared" si="9"/>
        <v>0</v>
      </c>
      <c r="AS33" s="42">
        <f t="shared" si="10"/>
        <v>0</v>
      </c>
      <c r="AT33" s="42">
        <f t="shared" si="11"/>
        <v>0</v>
      </c>
      <c r="AU33" s="42">
        <f t="shared" si="12"/>
        <v>0</v>
      </c>
      <c r="AV33" s="42">
        <f t="shared" si="13"/>
        <v>0</v>
      </c>
      <c r="AW33" s="42">
        <f t="shared" si="14"/>
        <v>0</v>
      </c>
      <c r="AX33" s="42">
        <f t="shared" si="15"/>
        <v>0</v>
      </c>
      <c r="AY33" s="42">
        <f t="shared" si="16"/>
        <v>0</v>
      </c>
      <c r="AZ33" s="42">
        <f t="shared" si="17"/>
        <v>0</v>
      </c>
      <c r="BA33" s="42">
        <f t="shared" si="18"/>
        <v>0</v>
      </c>
      <c r="BB33" s="42">
        <f t="shared" si="19"/>
        <v>0</v>
      </c>
      <c r="BC33" s="42">
        <f t="shared" si="20"/>
        <v>0</v>
      </c>
      <c r="BD33" s="42">
        <f t="shared" si="21"/>
        <v>0</v>
      </c>
      <c r="BE33" s="42">
        <f t="shared" si="22"/>
        <v>0</v>
      </c>
      <c r="BF33" s="42">
        <f t="shared" si="23"/>
        <v>0</v>
      </c>
      <c r="BG33" s="42">
        <f t="shared" si="24"/>
        <v>0</v>
      </c>
      <c r="BH33" s="42">
        <f t="shared" si="25"/>
        <v>0</v>
      </c>
      <c r="BI33" s="42">
        <f t="shared" si="26"/>
        <v>0</v>
      </c>
    </row>
    <row r="34" spans="1:61" x14ac:dyDescent="0.25">
      <c r="A34" s="477"/>
      <c r="B34" s="21" t="s">
        <v>95</v>
      </c>
      <c r="C34" s="1" t="str">
        <f t="shared" si="4"/>
        <v>4/6</v>
      </c>
      <c r="D34" s="1" t="str">
        <f>IF(IF((COUNTIF(Professional_Skill_Options,'Skill Workbook'!F34)&gt;0),INDEX(Professional_Skill_Choices,MATCH(F34,Professional_Skill_Options,0)),FALSE),"X","")</f>
        <v/>
      </c>
      <c r="E34" s="1" t="str">
        <f>IF(IF((COUNTIF(Professional_Skill_Options,'Skill Workbook'!F34)&gt;0),INDEX(Professional_Skill_Knacks,MATCH(F34,Professional_Skill_Options,0)),FALSE),"X","")</f>
        <v/>
      </c>
      <c r="F34" t="s">
        <v>99</v>
      </c>
      <c r="G34" s="196"/>
      <c r="H34" s="198"/>
      <c r="I34" s="1" t="s">
        <v>103</v>
      </c>
      <c r="J34" s="46"/>
      <c r="AE34" s="1">
        <f>SUM(K34:INDEX(K34:AD34,Level))+J34-IF(H34="",0,1)</f>
        <v>0</v>
      </c>
      <c r="AF34" s="26">
        <f t="shared" si="5"/>
        <v>-25</v>
      </c>
      <c r="AG34" s="26" t="e" cm="1">
        <f t="array" aca="1" ref="AG34" ca="1">IF(I34="NA",0,INDIRECT(LEFT(I34,2))+INDIRECT(MID(I34,4,2))+INDIRECT(RIGHT(I34,2)))</f>
        <v>#N/A</v>
      </c>
      <c r="AH34" s="26">
        <f t="shared" si="27"/>
        <v>0</v>
      </c>
      <c r="AI34" s="26">
        <f t="shared" si="28"/>
        <v>0</v>
      </c>
      <c r="AJ34" s="26"/>
      <c r="AK34" s="26" t="e">
        <f t="shared" ca="1" si="6"/>
        <v>#N/A</v>
      </c>
      <c r="AL34" s="32" t="e">
        <f t="shared" ca="1" si="29"/>
        <v>#N/A</v>
      </c>
      <c r="AP34" s="42">
        <f t="shared" si="7"/>
        <v>0</v>
      </c>
      <c r="AQ34" s="42">
        <f t="shared" si="8"/>
        <v>0</v>
      </c>
      <c r="AR34" s="42">
        <f t="shared" si="9"/>
        <v>0</v>
      </c>
      <c r="AS34" s="42">
        <f t="shared" si="10"/>
        <v>0</v>
      </c>
      <c r="AT34" s="42">
        <f t="shared" si="11"/>
        <v>0</v>
      </c>
      <c r="AU34" s="42">
        <f t="shared" si="12"/>
        <v>0</v>
      </c>
      <c r="AV34" s="42">
        <f t="shared" si="13"/>
        <v>0</v>
      </c>
      <c r="AW34" s="42">
        <f t="shared" si="14"/>
        <v>0</v>
      </c>
      <c r="AX34" s="42">
        <f t="shared" si="15"/>
        <v>0</v>
      </c>
      <c r="AY34" s="42">
        <f t="shared" si="16"/>
        <v>0</v>
      </c>
      <c r="AZ34" s="42">
        <f t="shared" si="17"/>
        <v>0</v>
      </c>
      <c r="BA34" s="42">
        <f t="shared" si="18"/>
        <v>0</v>
      </c>
      <c r="BB34" s="42">
        <f t="shared" si="19"/>
        <v>0</v>
      </c>
      <c r="BC34" s="42">
        <f t="shared" si="20"/>
        <v>0</v>
      </c>
      <c r="BD34" s="42">
        <f t="shared" si="21"/>
        <v>0</v>
      </c>
      <c r="BE34" s="42">
        <f t="shared" si="22"/>
        <v>0</v>
      </c>
      <c r="BF34" s="42">
        <f t="shared" si="23"/>
        <v>0</v>
      </c>
      <c r="BG34" s="42">
        <f t="shared" si="24"/>
        <v>0</v>
      </c>
      <c r="BH34" s="42">
        <f t="shared" si="25"/>
        <v>0</v>
      </c>
      <c r="BI34" s="42">
        <f t="shared" si="26"/>
        <v>0</v>
      </c>
    </row>
    <row r="35" spans="1:61" x14ac:dyDescent="0.25">
      <c r="A35" s="477"/>
      <c r="B35" s="21" t="s">
        <v>95</v>
      </c>
      <c r="C35" s="1" t="str">
        <f t="shared" si="4"/>
        <v>4/6</v>
      </c>
      <c r="D35" s="1"/>
      <c r="E35" s="1"/>
      <c r="F35" t="s">
        <v>832</v>
      </c>
      <c r="G35" s="194" t="s">
        <v>833</v>
      </c>
      <c r="H35" s="195"/>
      <c r="I35" s="1" t="s">
        <v>94</v>
      </c>
      <c r="J35" s="46"/>
      <c r="AE35" s="1">
        <f>SUM(K35:INDEX(K35:AD35,Level))+J35-IF(H35="",0,1)</f>
        <v>0</v>
      </c>
      <c r="AF35" s="26">
        <f t="shared" ref="AF35:AF42" si="83">IF(AE35&gt;30,100+AE35,VLOOKUP(AE35,Rank_Bonus,2,FALSE))</f>
        <v>-25</v>
      </c>
      <c r="AG35" s="26" cm="1">
        <f t="array" aca="1" ref="AG35" ca="1">IF(I35="NA",0,INDIRECT(LEFT(I35,2))+INDIRECT(MID(I35,4,2))+INDIRECT(RIGHT(I35,2)))</f>
        <v>0</v>
      </c>
      <c r="AH35" s="26">
        <f t="shared" ref="AH35:AH42" si="84">IF(D35="X",MIN(30,AE35),0)</f>
        <v>0</v>
      </c>
      <c r="AI35" s="26">
        <f t="shared" ref="AI35:AI42" si="85">IF(E35="X",5,0)</f>
        <v>0</v>
      </c>
      <c r="AJ35" s="26"/>
      <c r="AK35" s="26">
        <f t="shared" ca="1" si="6"/>
        <v>-25</v>
      </c>
      <c r="AL35" s="32">
        <f t="shared" ref="AL35:AL42" ca="1" si="86">ROUND(SUM(AF35:AJ35),0)</f>
        <v>-25</v>
      </c>
      <c r="AP35" s="42"/>
      <c r="AQ35" s="42"/>
      <c r="AR35" s="42"/>
      <c r="AS35" s="42"/>
      <c r="AT35" s="42"/>
      <c r="AU35" s="42"/>
      <c r="AV35" s="42"/>
      <c r="AW35" s="42"/>
      <c r="AX35" s="42"/>
      <c r="AY35" s="42"/>
      <c r="AZ35" s="42"/>
      <c r="BA35" s="42"/>
      <c r="BB35" s="42"/>
      <c r="BC35" s="42"/>
      <c r="BD35" s="42"/>
      <c r="BE35" s="42"/>
      <c r="BF35" s="42"/>
      <c r="BG35" s="42"/>
      <c r="BH35" s="42"/>
      <c r="BI35" s="42"/>
    </row>
    <row r="36" spans="1:61" x14ac:dyDescent="0.25">
      <c r="A36" s="477"/>
      <c r="B36" s="21" t="s">
        <v>95</v>
      </c>
      <c r="C36" s="1" t="str">
        <f t="shared" si="4"/>
        <v>4/6</v>
      </c>
      <c r="D36" s="1"/>
      <c r="E36" s="1"/>
      <c r="F36" t="s">
        <v>832</v>
      </c>
      <c r="G36" s="194" t="s">
        <v>834</v>
      </c>
      <c r="H36" s="195"/>
      <c r="I36" s="1" t="s">
        <v>94</v>
      </c>
      <c r="J36" s="46"/>
      <c r="AE36" s="1">
        <f>SUM(K36:INDEX(K36:AD36,Level))+J36-IF(H36="",0,1)</f>
        <v>0</v>
      </c>
      <c r="AF36" s="26">
        <f t="shared" si="83"/>
        <v>-25</v>
      </c>
      <c r="AG36" s="26" cm="1">
        <f t="array" aca="1" ref="AG36" ca="1">IF(I36="NA",0,INDIRECT(LEFT(I36,2))+INDIRECT(MID(I36,4,2))+INDIRECT(RIGHT(I36,2)))</f>
        <v>0</v>
      </c>
      <c r="AH36" s="26">
        <f t="shared" si="84"/>
        <v>0</v>
      </c>
      <c r="AI36" s="26">
        <f t="shared" si="85"/>
        <v>0</v>
      </c>
      <c r="AJ36" s="26"/>
      <c r="AK36" s="26">
        <f t="shared" ca="1" si="6"/>
        <v>-25</v>
      </c>
      <c r="AL36" s="32">
        <f t="shared" ca="1" si="86"/>
        <v>-25</v>
      </c>
      <c r="AP36" s="42"/>
      <c r="AQ36" s="42"/>
      <c r="AR36" s="42"/>
      <c r="AS36" s="42"/>
      <c r="AT36" s="42"/>
      <c r="AU36" s="42"/>
      <c r="AV36" s="42"/>
      <c r="AW36" s="42"/>
      <c r="AX36" s="42"/>
      <c r="AY36" s="42"/>
      <c r="AZ36" s="42"/>
      <c r="BA36" s="42"/>
      <c r="BB36" s="42"/>
      <c r="BC36" s="42"/>
      <c r="BD36" s="42"/>
      <c r="BE36" s="42"/>
      <c r="BF36" s="42"/>
      <c r="BG36" s="42"/>
      <c r="BH36" s="42"/>
      <c r="BI36" s="42"/>
    </row>
    <row r="37" spans="1:61" x14ac:dyDescent="0.25">
      <c r="A37" s="477"/>
      <c r="B37" s="21" t="s">
        <v>95</v>
      </c>
      <c r="C37" s="1" t="str">
        <f t="shared" si="4"/>
        <v>4/6</v>
      </c>
      <c r="D37" s="1"/>
      <c r="E37" s="1"/>
      <c r="F37" t="s">
        <v>832</v>
      </c>
      <c r="G37" s="194" t="s">
        <v>835</v>
      </c>
      <c r="H37" s="195"/>
      <c r="I37" s="1" t="s">
        <v>94</v>
      </c>
      <c r="J37" s="46"/>
      <c r="AE37" s="1">
        <f>SUM(K37:INDEX(K37:AD37,Level))+J37-IF(H37="",0,1)</f>
        <v>0</v>
      </c>
      <c r="AF37" s="26">
        <f t="shared" si="83"/>
        <v>-25</v>
      </c>
      <c r="AG37" s="26" cm="1">
        <f t="array" aca="1" ref="AG37" ca="1">IF(I37="NA",0,INDIRECT(LEFT(I37,2))+INDIRECT(MID(I37,4,2))+INDIRECT(RIGHT(I37,2)))</f>
        <v>0</v>
      </c>
      <c r="AH37" s="26">
        <f t="shared" si="84"/>
        <v>0</v>
      </c>
      <c r="AI37" s="26">
        <f t="shared" si="85"/>
        <v>0</v>
      </c>
      <c r="AJ37" s="26"/>
      <c r="AK37" s="26">
        <f t="shared" ca="1" si="6"/>
        <v>-25</v>
      </c>
      <c r="AL37" s="32">
        <f t="shared" ca="1" si="86"/>
        <v>-25</v>
      </c>
      <c r="AP37" s="42"/>
      <c r="AQ37" s="42"/>
      <c r="AR37" s="42"/>
      <c r="AS37" s="42"/>
      <c r="AT37" s="42"/>
      <c r="AU37" s="42"/>
      <c r="AV37" s="42"/>
      <c r="AW37" s="42"/>
      <c r="AX37" s="42"/>
      <c r="AY37" s="42"/>
      <c r="AZ37" s="42"/>
      <c r="BA37" s="42"/>
      <c r="BB37" s="42"/>
      <c r="BC37" s="42"/>
      <c r="BD37" s="42"/>
      <c r="BE37" s="42"/>
      <c r="BF37" s="42"/>
      <c r="BG37" s="42"/>
      <c r="BH37" s="42"/>
      <c r="BI37" s="42"/>
    </row>
    <row r="38" spans="1:61" x14ac:dyDescent="0.25">
      <c r="A38" s="477"/>
      <c r="B38" s="21" t="s">
        <v>95</v>
      </c>
      <c r="C38" s="1" t="str">
        <f t="shared" si="4"/>
        <v>4/6</v>
      </c>
      <c r="D38" s="1"/>
      <c r="E38" s="1"/>
      <c r="F38" t="s">
        <v>832</v>
      </c>
      <c r="G38" s="194" t="s">
        <v>836</v>
      </c>
      <c r="H38" s="195"/>
      <c r="I38" s="1" t="s">
        <v>94</v>
      </c>
      <c r="J38" s="46"/>
      <c r="AE38" s="1">
        <f>SUM(K38:INDEX(K38:AD38,Level))+J38-IF(H38="",0,1)</f>
        <v>0</v>
      </c>
      <c r="AF38" s="26">
        <f t="shared" si="83"/>
        <v>-25</v>
      </c>
      <c r="AG38" s="26" cm="1">
        <f t="array" aca="1" ref="AG38" ca="1">IF(I38="NA",0,INDIRECT(LEFT(I38,2))+INDIRECT(MID(I38,4,2))+INDIRECT(RIGHT(I38,2)))</f>
        <v>0</v>
      </c>
      <c r="AH38" s="26">
        <f t="shared" si="84"/>
        <v>0</v>
      </c>
      <c r="AI38" s="26">
        <f t="shared" si="85"/>
        <v>0</v>
      </c>
      <c r="AJ38" s="26"/>
      <c r="AK38" s="26">
        <f t="shared" ca="1" si="6"/>
        <v>-25</v>
      </c>
      <c r="AL38" s="32">
        <f t="shared" ca="1" si="86"/>
        <v>-25</v>
      </c>
      <c r="AP38" s="42"/>
      <c r="AQ38" s="42"/>
      <c r="AR38" s="42"/>
      <c r="AS38" s="42"/>
      <c r="AT38" s="42"/>
      <c r="AU38" s="42"/>
      <c r="AV38" s="42"/>
      <c r="AW38" s="42"/>
      <c r="AX38" s="42"/>
      <c r="AY38" s="42"/>
      <c r="AZ38" s="42"/>
      <c r="BA38" s="42"/>
      <c r="BB38" s="42"/>
      <c r="BC38" s="42"/>
      <c r="BD38" s="42"/>
      <c r="BE38" s="42"/>
      <c r="BF38" s="42"/>
      <c r="BG38" s="42"/>
      <c r="BH38" s="42"/>
      <c r="BI38" s="42"/>
    </row>
    <row r="39" spans="1:61" x14ac:dyDescent="0.25">
      <c r="A39" s="477"/>
      <c r="B39" s="21" t="s">
        <v>95</v>
      </c>
      <c r="C39" s="1" t="str">
        <f t="shared" si="4"/>
        <v>4/6</v>
      </c>
      <c r="D39" s="1"/>
      <c r="E39" s="1"/>
      <c r="F39" t="s">
        <v>832</v>
      </c>
      <c r="G39" s="194" t="s">
        <v>837</v>
      </c>
      <c r="H39" s="195"/>
      <c r="I39" s="1" t="s">
        <v>94</v>
      </c>
      <c r="J39" s="46"/>
      <c r="AE39" s="1">
        <f>SUM(K39:INDEX(K39:AD39,Level))+J39-IF(H39="",0,1)</f>
        <v>0</v>
      </c>
      <c r="AF39" s="26">
        <f t="shared" si="83"/>
        <v>-25</v>
      </c>
      <c r="AG39" s="26" cm="1">
        <f t="array" aca="1" ref="AG39" ca="1">IF(I39="NA",0,INDIRECT(LEFT(I39,2))+INDIRECT(MID(I39,4,2))+INDIRECT(RIGHT(I39,2)))</f>
        <v>0</v>
      </c>
      <c r="AH39" s="26">
        <f t="shared" si="84"/>
        <v>0</v>
      </c>
      <c r="AI39" s="26">
        <f t="shared" si="85"/>
        <v>0</v>
      </c>
      <c r="AJ39" s="26"/>
      <c r="AK39" s="26">
        <f t="shared" ca="1" si="6"/>
        <v>-25</v>
      </c>
      <c r="AL39" s="32">
        <f t="shared" ca="1" si="86"/>
        <v>-25</v>
      </c>
      <c r="AP39" s="42"/>
      <c r="AQ39" s="42"/>
      <c r="AR39" s="42"/>
      <c r="AS39" s="42"/>
      <c r="AT39" s="42"/>
      <c r="AU39" s="42"/>
      <c r="AV39" s="42"/>
      <c r="AW39" s="42"/>
      <c r="AX39" s="42"/>
      <c r="AY39" s="42"/>
      <c r="AZ39" s="42"/>
      <c r="BA39" s="42"/>
      <c r="BB39" s="42"/>
      <c r="BC39" s="42"/>
      <c r="BD39" s="42"/>
      <c r="BE39" s="42"/>
      <c r="BF39" s="42"/>
      <c r="BG39" s="42"/>
      <c r="BH39" s="42"/>
      <c r="BI39" s="42"/>
    </row>
    <row r="40" spans="1:61" x14ac:dyDescent="0.25">
      <c r="A40" s="477"/>
      <c r="B40" s="21" t="s">
        <v>95</v>
      </c>
      <c r="C40" s="1" t="str">
        <f t="shared" si="4"/>
        <v>4/6</v>
      </c>
      <c r="D40" s="1"/>
      <c r="E40" s="1"/>
      <c r="F40" t="s">
        <v>832</v>
      </c>
      <c r="G40" s="194" t="s">
        <v>838</v>
      </c>
      <c r="H40" s="195"/>
      <c r="I40" s="1" t="s">
        <v>94</v>
      </c>
      <c r="J40" s="46"/>
      <c r="AE40" s="1">
        <f>SUM(K40:INDEX(K40:AD40,Level))+J40-IF(H40="",0,1)</f>
        <v>0</v>
      </c>
      <c r="AF40" s="26">
        <f t="shared" si="83"/>
        <v>-25</v>
      </c>
      <c r="AG40" s="26" cm="1">
        <f t="array" aca="1" ref="AG40" ca="1">IF(I40="NA",0,INDIRECT(LEFT(I40,2))+INDIRECT(MID(I40,4,2))+INDIRECT(RIGHT(I40,2)))</f>
        <v>0</v>
      </c>
      <c r="AH40" s="26">
        <f t="shared" si="84"/>
        <v>0</v>
      </c>
      <c r="AI40" s="26">
        <f t="shared" si="85"/>
        <v>0</v>
      </c>
      <c r="AJ40" s="26"/>
      <c r="AK40" s="26">
        <f t="shared" ca="1" si="6"/>
        <v>-25</v>
      </c>
      <c r="AL40" s="32">
        <f t="shared" ca="1" si="86"/>
        <v>-25</v>
      </c>
      <c r="AP40" s="42"/>
      <c r="AQ40" s="42"/>
      <c r="AR40" s="42"/>
      <c r="AS40" s="42"/>
      <c r="AT40" s="42"/>
      <c r="AU40" s="42"/>
      <c r="AV40" s="42"/>
      <c r="AW40" s="42"/>
      <c r="AX40" s="42"/>
      <c r="AY40" s="42"/>
      <c r="AZ40" s="42"/>
      <c r="BA40" s="42"/>
      <c r="BB40" s="42"/>
      <c r="BC40" s="42"/>
      <c r="BD40" s="42"/>
      <c r="BE40" s="42"/>
      <c r="BF40" s="42"/>
      <c r="BG40" s="42"/>
      <c r="BH40" s="42"/>
      <c r="BI40" s="42"/>
    </row>
    <row r="41" spans="1:61" x14ac:dyDescent="0.25">
      <c r="A41" s="477"/>
      <c r="B41" s="21" t="s">
        <v>95</v>
      </c>
      <c r="C41" s="1" t="str">
        <f t="shared" si="4"/>
        <v>4/6</v>
      </c>
      <c r="D41" s="1"/>
      <c r="E41" s="1"/>
      <c r="F41" t="s">
        <v>832</v>
      </c>
      <c r="G41" s="194" t="s">
        <v>839</v>
      </c>
      <c r="H41" s="195"/>
      <c r="I41" s="1" t="s">
        <v>94</v>
      </c>
      <c r="J41" s="46"/>
      <c r="AE41" s="1">
        <f>SUM(K41:INDEX(K41:AD41,Level))+J41-IF(H41="",0,1)</f>
        <v>0</v>
      </c>
      <c r="AF41" s="26">
        <f t="shared" si="83"/>
        <v>-25</v>
      </c>
      <c r="AG41" s="26" cm="1">
        <f t="array" aca="1" ref="AG41" ca="1">IF(I41="NA",0,INDIRECT(LEFT(I41,2))+INDIRECT(MID(I41,4,2))+INDIRECT(RIGHT(I41,2)))</f>
        <v>0</v>
      </c>
      <c r="AH41" s="26">
        <f t="shared" si="84"/>
        <v>0</v>
      </c>
      <c r="AI41" s="26">
        <f t="shared" si="85"/>
        <v>0</v>
      </c>
      <c r="AJ41" s="26"/>
      <c r="AK41" s="26">
        <f t="shared" ca="1" si="6"/>
        <v>-25</v>
      </c>
      <c r="AL41" s="32">
        <f t="shared" ca="1" si="86"/>
        <v>-25</v>
      </c>
      <c r="AP41" s="42"/>
      <c r="AQ41" s="42"/>
      <c r="AR41" s="42"/>
      <c r="AS41" s="42"/>
      <c r="AT41" s="42"/>
      <c r="AU41" s="42"/>
      <c r="AV41" s="42"/>
      <c r="AW41" s="42"/>
      <c r="AX41" s="42"/>
      <c r="AY41" s="42"/>
      <c r="AZ41" s="42"/>
      <c r="BA41" s="42"/>
      <c r="BB41" s="42"/>
      <c r="BC41" s="42"/>
      <c r="BD41" s="42"/>
      <c r="BE41" s="42"/>
      <c r="BF41" s="42"/>
      <c r="BG41" s="42"/>
      <c r="BH41" s="42"/>
      <c r="BI41" s="42"/>
    </row>
    <row r="42" spans="1:61" x14ac:dyDescent="0.25">
      <c r="A42" s="477"/>
      <c r="B42" s="21" t="s">
        <v>95</v>
      </c>
      <c r="C42" s="1" t="str">
        <f t="shared" si="4"/>
        <v>4/6</v>
      </c>
      <c r="D42" s="1"/>
      <c r="E42" s="1"/>
      <c r="F42" t="s">
        <v>832</v>
      </c>
      <c r="G42" s="194" t="s">
        <v>840</v>
      </c>
      <c r="H42" s="195"/>
      <c r="I42" s="1" t="s">
        <v>94</v>
      </c>
      <c r="J42" s="46"/>
      <c r="AE42" s="1">
        <f>SUM(K42:INDEX(K42:AD42,Level))+J42-IF(H42="",0,1)</f>
        <v>0</v>
      </c>
      <c r="AF42" s="26">
        <f t="shared" si="83"/>
        <v>-25</v>
      </c>
      <c r="AG42" s="26" cm="1">
        <f t="array" aca="1" ref="AG42" ca="1">IF(I42="NA",0,INDIRECT(LEFT(I42,2))+INDIRECT(MID(I42,4,2))+INDIRECT(RIGHT(I42,2)))</f>
        <v>0</v>
      </c>
      <c r="AH42" s="26">
        <f t="shared" si="84"/>
        <v>0</v>
      </c>
      <c r="AI42" s="26">
        <f t="shared" si="85"/>
        <v>0</v>
      </c>
      <c r="AJ42" s="26"/>
      <c r="AK42" s="26">
        <f t="shared" ca="1" si="6"/>
        <v>-25</v>
      </c>
      <c r="AL42" s="32">
        <f t="shared" ca="1" si="86"/>
        <v>-25</v>
      </c>
      <c r="AP42" s="42"/>
      <c r="AQ42" s="42"/>
      <c r="AR42" s="42"/>
      <c r="AS42" s="42"/>
      <c r="AT42" s="42"/>
      <c r="AU42" s="42"/>
      <c r="AV42" s="42"/>
      <c r="AW42" s="42"/>
      <c r="AX42" s="42"/>
      <c r="AY42" s="42"/>
      <c r="AZ42" s="42"/>
      <c r="BA42" s="42"/>
      <c r="BB42" s="42"/>
      <c r="BC42" s="42"/>
      <c r="BD42" s="42"/>
      <c r="BE42" s="42"/>
      <c r="BF42" s="42"/>
      <c r="BG42" s="42"/>
      <c r="BH42" s="42"/>
      <c r="BI42" s="42"/>
    </row>
    <row r="43" spans="1:61" x14ac:dyDescent="0.25">
      <c r="A43" s="477"/>
      <c r="B43" s="9" t="s">
        <v>104</v>
      </c>
      <c r="C43" s="74" t="str">
        <f t="shared" si="4"/>
        <v>3/4</v>
      </c>
      <c r="D43" s="74" t="str">
        <f>IF(IF((COUNTIF(Professional_Skill_Options,'Skill Workbook'!F43)&gt;0),INDEX(Professional_Skill_Choices,MATCH(F43,Professional_Skill_Options,0)),FALSE),"X","")</f>
        <v/>
      </c>
      <c r="E43" s="74" t="str">
        <f>IF(IF((COUNTIF(Professional_Skill_Options,'Skill Workbook'!F43)&gt;0),INDEX(Professional_Skill_Knacks,MATCH(F43,Professional_Skill_Options,0)),FALSE),"X","")</f>
        <v/>
      </c>
      <c r="F43" s="124" t="s">
        <v>105</v>
      </c>
      <c r="G43" s="196"/>
      <c r="H43" s="197"/>
      <c r="I43" s="74" t="s">
        <v>108</v>
      </c>
      <c r="J43" s="74">
        <f>'Base Details'!V104</f>
        <v>0</v>
      </c>
      <c r="K43" s="74"/>
      <c r="L43" s="74"/>
      <c r="M43" s="74"/>
      <c r="N43" s="74"/>
      <c r="O43" s="74"/>
      <c r="P43" s="74"/>
      <c r="Q43" s="74"/>
      <c r="R43" s="74"/>
      <c r="S43" s="74"/>
      <c r="T43" s="74"/>
      <c r="U43" s="74"/>
      <c r="V43" s="74"/>
      <c r="W43" s="74"/>
      <c r="X43" s="74"/>
      <c r="Y43" s="74"/>
      <c r="Z43" s="74"/>
      <c r="AA43" s="74"/>
      <c r="AB43" s="74"/>
      <c r="AC43" s="74"/>
      <c r="AD43" s="74"/>
      <c r="AE43" s="74">
        <f>SUM(K43:INDEX(K43:AD43,Level))+J43-IF(H43="",0,1)</f>
        <v>0</v>
      </c>
      <c r="AF43" s="110">
        <f t="shared" si="5"/>
        <v>-25</v>
      </c>
      <c r="AG43" s="110" t="e" cm="1">
        <f t="array" aca="1" ref="AG43" ca="1">IF(I43="NA",0,INDIRECT(LEFT(I43,2))+INDIRECT(MID(I43,4,2))+INDIRECT(RIGHT(I43,2)))</f>
        <v>#N/A</v>
      </c>
      <c r="AH43" s="110">
        <f t="shared" si="27"/>
        <v>0</v>
      </c>
      <c r="AI43" s="110">
        <f t="shared" si="28"/>
        <v>0</v>
      </c>
      <c r="AJ43" s="110"/>
      <c r="AK43" s="110" t="e">
        <f t="shared" ca="1" si="6"/>
        <v>#N/A</v>
      </c>
      <c r="AL43" s="125" t="e">
        <f t="shared" ca="1" si="29"/>
        <v>#N/A</v>
      </c>
      <c r="AP43" s="42">
        <f t="shared" si="7"/>
        <v>0</v>
      </c>
      <c r="AQ43" s="42">
        <f t="shared" si="8"/>
        <v>0</v>
      </c>
      <c r="AR43" s="42">
        <f t="shared" si="9"/>
        <v>0</v>
      </c>
      <c r="AS43" s="42">
        <f t="shared" si="10"/>
        <v>0</v>
      </c>
      <c r="AT43" s="42">
        <f t="shared" si="11"/>
        <v>0</v>
      </c>
      <c r="AU43" s="42">
        <f t="shared" si="12"/>
        <v>0</v>
      </c>
      <c r="AV43" s="42">
        <f t="shared" si="13"/>
        <v>0</v>
      </c>
      <c r="AW43" s="42">
        <f t="shared" si="14"/>
        <v>0</v>
      </c>
      <c r="AX43" s="42">
        <f t="shared" si="15"/>
        <v>0</v>
      </c>
      <c r="AY43" s="42">
        <f t="shared" si="16"/>
        <v>0</v>
      </c>
      <c r="AZ43" s="42">
        <f t="shared" si="17"/>
        <v>0</v>
      </c>
      <c r="BA43" s="42">
        <f t="shared" si="18"/>
        <v>0</v>
      </c>
      <c r="BB43" s="42">
        <f t="shared" si="19"/>
        <v>0</v>
      </c>
      <c r="BC43" s="42">
        <f t="shared" si="20"/>
        <v>0</v>
      </c>
      <c r="BD43" s="42">
        <f t="shared" si="21"/>
        <v>0</v>
      </c>
      <c r="BE43" s="42">
        <f t="shared" si="22"/>
        <v>0</v>
      </c>
      <c r="BF43" s="42">
        <f t="shared" si="23"/>
        <v>0</v>
      </c>
      <c r="BG43" s="42">
        <f t="shared" si="24"/>
        <v>0</v>
      </c>
      <c r="BH43" s="42">
        <f t="shared" si="25"/>
        <v>0</v>
      </c>
      <c r="BI43" s="42">
        <f t="shared" si="26"/>
        <v>0</v>
      </c>
    </row>
    <row r="44" spans="1:61" x14ac:dyDescent="0.25">
      <c r="A44" s="477"/>
      <c r="B44" s="21" t="s">
        <v>104</v>
      </c>
      <c r="C44" s="1" t="str">
        <f t="shared" si="4"/>
        <v>3/4</v>
      </c>
      <c r="D44" s="1" t="str">
        <f>IF(IF((COUNTIF(Professional_Skill_Options,'Skill Workbook'!F44)&gt;0),INDEX(Professional_Skill_Choices,MATCH(F44,Professional_Skill_Options,0)),FALSE),"X","")</f>
        <v/>
      </c>
      <c r="E44" s="1" t="str">
        <f>IF(IF((COUNTIF(Professional_Skill_Options,'Skill Workbook'!F44)&gt;0),INDEX(Professional_Skill_Knacks,MATCH(F44,Professional_Skill_Options,0)),FALSE),"X","")</f>
        <v/>
      </c>
      <c r="F44" t="s">
        <v>106</v>
      </c>
      <c r="G44" s="196"/>
      <c r="H44" s="198"/>
      <c r="I44" s="1" t="s">
        <v>103</v>
      </c>
      <c r="J44" s="46"/>
      <c r="AE44" s="1">
        <f>SUM(K44:INDEX(K44:AD44,Level))+J44-IF(H44="",0,1)</f>
        <v>0</v>
      </c>
      <c r="AF44" s="26">
        <f t="shared" si="5"/>
        <v>-25</v>
      </c>
      <c r="AG44" s="26" t="e" cm="1">
        <f t="array" aca="1" ref="AG44" ca="1">IF(I44="NA",0,INDIRECT(LEFT(I44,2))+INDIRECT(MID(I44,4,2))+INDIRECT(RIGHT(I44,2)))</f>
        <v>#N/A</v>
      </c>
      <c r="AH44" s="26">
        <f t="shared" si="27"/>
        <v>0</v>
      </c>
      <c r="AI44" s="26">
        <f t="shared" si="28"/>
        <v>0</v>
      </c>
      <c r="AJ44" s="26"/>
      <c r="AK44" s="26" t="e">
        <f t="shared" ca="1" si="6"/>
        <v>#N/A</v>
      </c>
      <c r="AL44" s="32" t="e">
        <f t="shared" ca="1" si="29"/>
        <v>#N/A</v>
      </c>
      <c r="AP44" s="42">
        <f t="shared" si="7"/>
        <v>0</v>
      </c>
      <c r="AQ44" s="42">
        <f t="shared" si="8"/>
        <v>0</v>
      </c>
      <c r="AR44" s="42">
        <f t="shared" si="9"/>
        <v>0</v>
      </c>
      <c r="AS44" s="42">
        <f t="shared" si="10"/>
        <v>0</v>
      </c>
      <c r="AT44" s="42">
        <f t="shared" si="11"/>
        <v>0</v>
      </c>
      <c r="AU44" s="42">
        <f t="shared" si="12"/>
        <v>0</v>
      </c>
      <c r="AV44" s="42">
        <f t="shared" si="13"/>
        <v>0</v>
      </c>
      <c r="AW44" s="42">
        <f t="shared" si="14"/>
        <v>0</v>
      </c>
      <c r="AX44" s="42">
        <f t="shared" si="15"/>
        <v>0</v>
      </c>
      <c r="AY44" s="42">
        <f t="shared" si="16"/>
        <v>0</v>
      </c>
      <c r="AZ44" s="42">
        <f t="shared" si="17"/>
        <v>0</v>
      </c>
      <c r="BA44" s="42">
        <f t="shared" si="18"/>
        <v>0</v>
      </c>
      <c r="BB44" s="42">
        <f t="shared" si="19"/>
        <v>0</v>
      </c>
      <c r="BC44" s="42">
        <f t="shared" si="20"/>
        <v>0</v>
      </c>
      <c r="BD44" s="42">
        <f t="shared" si="21"/>
        <v>0</v>
      </c>
      <c r="BE44" s="42">
        <f t="shared" si="22"/>
        <v>0</v>
      </c>
      <c r="BF44" s="42">
        <f t="shared" si="23"/>
        <v>0</v>
      </c>
      <c r="BG44" s="42">
        <f t="shared" si="24"/>
        <v>0</v>
      </c>
      <c r="BH44" s="42">
        <f t="shared" si="25"/>
        <v>0</v>
      </c>
      <c r="BI44" s="42">
        <f t="shared" si="26"/>
        <v>0</v>
      </c>
    </row>
    <row r="45" spans="1:61" x14ac:dyDescent="0.25">
      <c r="A45" s="477"/>
      <c r="B45" s="21" t="s">
        <v>104</v>
      </c>
      <c r="C45" s="1" t="str">
        <f t="shared" si="4"/>
        <v>3/4</v>
      </c>
      <c r="D45" s="1" t="str">
        <f>IF(IF((COUNTIF(Professional_Skill_Options,'Skill Workbook'!F45)&gt;0),INDEX(Professional_Skill_Choices,MATCH(F45,Professional_Skill_Options,0)),FALSE),"X","")</f>
        <v/>
      </c>
      <c r="E45" s="1" t="str">
        <f>IF(IF((COUNTIF(Professional_Skill_Options,'Skill Workbook'!F45)&gt;0),INDEX(Professional_Skill_Knacks,MATCH(F45,Professional_Skill_Options,0)),FALSE),"X","")</f>
        <v/>
      </c>
      <c r="F45" t="s">
        <v>107</v>
      </c>
      <c r="G45" s="196"/>
      <c r="H45" s="198"/>
      <c r="I45" s="1" t="s">
        <v>103</v>
      </c>
      <c r="J45" s="1">
        <f>'Base Details'!V105</f>
        <v>0</v>
      </c>
      <c r="AE45" s="1">
        <f>SUM(K45:INDEX(K45:AD45,Level))+J45-IF(H45="",0,1)</f>
        <v>0</v>
      </c>
      <c r="AF45" s="26">
        <f t="shared" si="5"/>
        <v>-25</v>
      </c>
      <c r="AG45" s="26" t="e" cm="1">
        <f t="array" aca="1" ref="AG45" ca="1">IF(I45="NA",0,INDIRECT(LEFT(I45,2))+INDIRECT(MID(I45,4,2))+INDIRECT(RIGHT(I45,2)))</f>
        <v>#N/A</v>
      </c>
      <c r="AH45" s="26">
        <f t="shared" si="27"/>
        <v>0</v>
      </c>
      <c r="AI45" s="26">
        <f t="shared" si="28"/>
        <v>0</v>
      </c>
      <c r="AJ45" s="26"/>
      <c r="AK45" s="26" t="e">
        <f t="shared" ca="1" si="6"/>
        <v>#N/A</v>
      </c>
      <c r="AL45" s="32" t="e">
        <f t="shared" ca="1" si="29"/>
        <v>#N/A</v>
      </c>
      <c r="AP45" s="42">
        <f t="shared" si="7"/>
        <v>0</v>
      </c>
      <c r="AQ45" s="42">
        <f t="shared" si="8"/>
        <v>0</v>
      </c>
      <c r="AR45" s="42">
        <f t="shared" si="9"/>
        <v>0</v>
      </c>
      <c r="AS45" s="42">
        <f t="shared" si="10"/>
        <v>0</v>
      </c>
      <c r="AT45" s="42">
        <f t="shared" si="11"/>
        <v>0</v>
      </c>
      <c r="AU45" s="42">
        <f t="shared" si="12"/>
        <v>0</v>
      </c>
      <c r="AV45" s="42">
        <f t="shared" si="13"/>
        <v>0</v>
      </c>
      <c r="AW45" s="42">
        <f t="shared" si="14"/>
        <v>0</v>
      </c>
      <c r="AX45" s="42">
        <f t="shared" si="15"/>
        <v>0</v>
      </c>
      <c r="AY45" s="42">
        <f t="shared" si="16"/>
        <v>0</v>
      </c>
      <c r="AZ45" s="42">
        <f t="shared" si="17"/>
        <v>0</v>
      </c>
      <c r="BA45" s="42">
        <f t="shared" si="18"/>
        <v>0</v>
      </c>
      <c r="BB45" s="42">
        <f t="shared" si="19"/>
        <v>0</v>
      </c>
      <c r="BC45" s="42">
        <f t="shared" si="20"/>
        <v>0</v>
      </c>
      <c r="BD45" s="42">
        <f t="shared" si="21"/>
        <v>0</v>
      </c>
      <c r="BE45" s="42">
        <f t="shared" si="22"/>
        <v>0</v>
      </c>
      <c r="BF45" s="42">
        <f t="shared" si="23"/>
        <v>0</v>
      </c>
      <c r="BG45" s="42">
        <f t="shared" si="24"/>
        <v>0</v>
      </c>
      <c r="BH45" s="42">
        <f t="shared" si="25"/>
        <v>0</v>
      </c>
      <c r="BI45" s="42">
        <f t="shared" si="26"/>
        <v>0</v>
      </c>
    </row>
    <row r="46" spans="1:61" x14ac:dyDescent="0.25">
      <c r="A46" s="477"/>
      <c r="B46" s="21" t="s">
        <v>109</v>
      </c>
      <c r="C46" s="1" t="str">
        <f t="shared" si="4"/>
        <v>3/5</v>
      </c>
      <c r="D46" s="1" t="str">
        <f>IF(IF((COUNTIF(Professional_Skill_Options,'Skill Workbook'!F46)&gt;0),INDEX(Professional_Skill_Choices,MATCH(F46,Professional_Skill_Options,0)),FALSE),"X","")</f>
        <v/>
      </c>
      <c r="E46" s="1" t="str">
        <f>IF(IF((COUNTIF(Professional_Skill_Options,'Skill Workbook'!F46)&gt;0),INDEX(Professional_Skill_Knacks,MATCH(F46,Professional_Skill_Options,0)),FALSE),"X","")</f>
        <v/>
      </c>
      <c r="F46" t="s">
        <v>831</v>
      </c>
      <c r="G46" s="194" t="s">
        <v>824</v>
      </c>
      <c r="H46" s="195"/>
      <c r="I46" s="1" t="s">
        <v>94</v>
      </c>
      <c r="J46" s="46"/>
      <c r="AE46" s="1">
        <f>SUM(K46:INDEX(K46:AD46,Level))+J46-IF(H46="",0,1)</f>
        <v>0</v>
      </c>
      <c r="AF46" s="26">
        <f t="shared" ref="AF46:AF53" si="87">IF(AE46&gt;30,100+AE46,VLOOKUP(AE46,Rank_Bonus,2,FALSE))</f>
        <v>-25</v>
      </c>
      <c r="AG46" s="26" cm="1">
        <f t="array" aca="1" ref="AG46" ca="1">IF(I46="NA",0,INDIRECT(LEFT(I46,2))+INDIRECT(MID(I46,4,2))+INDIRECT(RIGHT(I46,2)))</f>
        <v>0</v>
      </c>
      <c r="AH46" s="26">
        <f t="shared" ref="AH46:AH53" si="88">IF(D46="X",MIN(30,AE46),0)</f>
        <v>0</v>
      </c>
      <c r="AI46" s="26">
        <f t="shared" ref="AI46:AI53" si="89">IF(E46="X",5,0)</f>
        <v>0</v>
      </c>
      <c r="AJ46" s="26"/>
      <c r="AK46" s="26">
        <f t="shared" ca="1" si="6"/>
        <v>-25</v>
      </c>
      <c r="AL46" s="32">
        <f t="shared" ref="AL46:AL53" ca="1" si="90">ROUND(SUM(AF46:AJ46),0)</f>
        <v>-25</v>
      </c>
      <c r="AP46" s="42"/>
      <c r="AQ46" s="42"/>
      <c r="AR46" s="42"/>
      <c r="AS46" s="42"/>
      <c r="AT46" s="42"/>
      <c r="AU46" s="42"/>
      <c r="AV46" s="42"/>
      <c r="AW46" s="42"/>
      <c r="AX46" s="42"/>
      <c r="AY46" s="42"/>
      <c r="AZ46" s="42"/>
      <c r="BA46" s="42"/>
      <c r="BB46" s="42"/>
      <c r="BC46" s="42"/>
      <c r="BD46" s="42"/>
      <c r="BE46" s="42"/>
      <c r="BF46" s="42"/>
      <c r="BG46" s="42"/>
      <c r="BH46" s="42"/>
      <c r="BI46" s="42"/>
    </row>
    <row r="47" spans="1:61" x14ac:dyDescent="0.25">
      <c r="A47" s="477"/>
      <c r="B47" s="21" t="s">
        <v>109</v>
      </c>
      <c r="C47" s="1" t="str">
        <f t="shared" si="4"/>
        <v>3/5</v>
      </c>
      <c r="D47" s="1" t="str">
        <f>IF(IF((COUNTIF(Professional_Skill_Options,'Skill Workbook'!F47)&gt;0),INDEX(Professional_Skill_Choices,MATCH(F47,Professional_Skill_Options,0)),FALSE),"X","")</f>
        <v/>
      </c>
      <c r="E47" s="1" t="str">
        <f>IF(IF((COUNTIF(Professional_Skill_Options,'Skill Workbook'!F47)&gt;0),INDEX(Professional_Skill_Knacks,MATCH(F47,Professional_Skill_Options,0)),FALSE),"X","")</f>
        <v/>
      </c>
      <c r="F47" t="s">
        <v>831</v>
      </c>
      <c r="G47" s="194" t="s">
        <v>825</v>
      </c>
      <c r="H47" s="195"/>
      <c r="I47" s="1" t="s">
        <v>94</v>
      </c>
      <c r="J47" s="46"/>
      <c r="AE47" s="1">
        <f>SUM(K47:INDEX(K47:AD47,Level))+J47-IF(H47="",0,1)</f>
        <v>0</v>
      </c>
      <c r="AF47" s="26">
        <f t="shared" si="87"/>
        <v>-25</v>
      </c>
      <c r="AG47" s="26" cm="1">
        <f t="array" aca="1" ref="AG47" ca="1">IF(I47="NA",0,INDIRECT(LEFT(I47,2))+INDIRECT(MID(I47,4,2))+INDIRECT(RIGHT(I47,2)))</f>
        <v>0</v>
      </c>
      <c r="AH47" s="26">
        <f t="shared" si="88"/>
        <v>0</v>
      </c>
      <c r="AI47" s="26">
        <f t="shared" si="89"/>
        <v>0</v>
      </c>
      <c r="AJ47" s="26"/>
      <c r="AK47" s="26">
        <f t="shared" ca="1" si="6"/>
        <v>-25</v>
      </c>
      <c r="AL47" s="32">
        <f t="shared" ca="1" si="90"/>
        <v>-25</v>
      </c>
      <c r="AP47" s="42"/>
      <c r="AQ47" s="42"/>
      <c r="AR47" s="42"/>
      <c r="AS47" s="42"/>
      <c r="AT47" s="42"/>
      <c r="AU47" s="42"/>
      <c r="AV47" s="42"/>
      <c r="AW47" s="42"/>
      <c r="AX47" s="42"/>
      <c r="AY47" s="42"/>
      <c r="AZ47" s="42"/>
      <c r="BA47" s="42"/>
      <c r="BB47" s="42"/>
      <c r="BC47" s="42"/>
      <c r="BD47" s="42"/>
      <c r="BE47" s="42"/>
      <c r="BF47" s="42"/>
      <c r="BG47" s="42"/>
      <c r="BH47" s="42"/>
      <c r="BI47" s="42"/>
    </row>
    <row r="48" spans="1:61" x14ac:dyDescent="0.25">
      <c r="A48" s="477"/>
      <c r="B48" s="21" t="s">
        <v>109</v>
      </c>
      <c r="C48" s="1" t="str">
        <f t="shared" si="4"/>
        <v>3/5</v>
      </c>
      <c r="D48" s="1" t="str">
        <f>IF(IF((COUNTIF(Professional_Skill_Options,'Skill Workbook'!F48)&gt;0),INDEX(Professional_Skill_Choices,MATCH(F48,Professional_Skill_Options,0)),FALSE),"X","")</f>
        <v/>
      </c>
      <c r="E48" s="1" t="str">
        <f>IF(IF((COUNTIF(Professional_Skill_Options,'Skill Workbook'!F48)&gt;0),INDEX(Professional_Skill_Knacks,MATCH(F48,Professional_Skill_Options,0)),FALSE),"X","")</f>
        <v/>
      </c>
      <c r="F48" t="s">
        <v>831</v>
      </c>
      <c r="G48" s="194" t="s">
        <v>424</v>
      </c>
      <c r="H48" s="195"/>
      <c r="I48" s="1" t="s">
        <v>94</v>
      </c>
      <c r="J48" s="46"/>
      <c r="AE48" s="1">
        <f>SUM(K48:INDEX(K48:AD48,Level))+J48-IF(H48="",0,1)</f>
        <v>0</v>
      </c>
      <c r="AF48" s="26">
        <f t="shared" si="87"/>
        <v>-25</v>
      </c>
      <c r="AG48" s="26" cm="1">
        <f t="array" aca="1" ref="AG48" ca="1">IF(I48="NA",0,INDIRECT(LEFT(I48,2))+INDIRECT(MID(I48,4,2))+INDIRECT(RIGHT(I48,2)))</f>
        <v>0</v>
      </c>
      <c r="AH48" s="26">
        <f t="shared" si="88"/>
        <v>0</v>
      </c>
      <c r="AI48" s="26">
        <f t="shared" si="89"/>
        <v>0</v>
      </c>
      <c r="AJ48" s="26"/>
      <c r="AK48" s="26">
        <f t="shared" ca="1" si="6"/>
        <v>-25</v>
      </c>
      <c r="AL48" s="32">
        <f t="shared" ca="1" si="90"/>
        <v>-25</v>
      </c>
      <c r="AP48" s="42"/>
      <c r="AQ48" s="42"/>
      <c r="AR48" s="42"/>
      <c r="AS48" s="42"/>
      <c r="AT48" s="42"/>
      <c r="AU48" s="42"/>
      <c r="AV48" s="42"/>
      <c r="AW48" s="42"/>
      <c r="AX48" s="42"/>
      <c r="AY48" s="42"/>
      <c r="AZ48" s="42"/>
      <c r="BA48" s="42"/>
      <c r="BB48" s="42"/>
      <c r="BC48" s="42"/>
      <c r="BD48" s="42"/>
      <c r="BE48" s="42"/>
      <c r="BF48" s="42"/>
      <c r="BG48" s="42"/>
      <c r="BH48" s="42"/>
      <c r="BI48" s="42"/>
    </row>
    <row r="49" spans="1:61" x14ac:dyDescent="0.25">
      <c r="A49" s="477"/>
      <c r="B49" s="21" t="s">
        <v>109</v>
      </c>
      <c r="C49" s="1" t="str">
        <f t="shared" si="4"/>
        <v>3/5</v>
      </c>
      <c r="D49" s="1" t="str">
        <f>IF(IF((COUNTIF(Professional_Skill_Options,'Skill Workbook'!F49)&gt;0),INDEX(Professional_Skill_Choices,MATCH(F49,Professional_Skill_Options,0)),FALSE),"X","")</f>
        <v/>
      </c>
      <c r="E49" s="1" t="str">
        <f>IF(IF((COUNTIF(Professional_Skill_Options,'Skill Workbook'!F49)&gt;0),INDEX(Professional_Skill_Knacks,MATCH(F49,Professional_Skill_Options,0)),FALSE),"X","")</f>
        <v/>
      </c>
      <c r="F49" t="s">
        <v>831</v>
      </c>
      <c r="G49" s="194" t="s">
        <v>826</v>
      </c>
      <c r="H49" s="195"/>
      <c r="I49" s="1" t="s">
        <v>94</v>
      </c>
      <c r="J49" s="46"/>
      <c r="AE49" s="1">
        <f>SUM(K49:INDEX(K49:AD49,Level))+J49-IF(H49="",0,1)</f>
        <v>0</v>
      </c>
      <c r="AF49" s="26">
        <f t="shared" si="87"/>
        <v>-25</v>
      </c>
      <c r="AG49" s="26" cm="1">
        <f t="array" aca="1" ref="AG49" ca="1">IF(I49="NA",0,INDIRECT(LEFT(I49,2))+INDIRECT(MID(I49,4,2))+INDIRECT(RIGHT(I49,2)))</f>
        <v>0</v>
      </c>
      <c r="AH49" s="26">
        <f t="shared" si="88"/>
        <v>0</v>
      </c>
      <c r="AI49" s="26">
        <f t="shared" si="89"/>
        <v>0</v>
      </c>
      <c r="AJ49" s="26"/>
      <c r="AK49" s="26">
        <f t="shared" ca="1" si="6"/>
        <v>-25</v>
      </c>
      <c r="AL49" s="32">
        <f t="shared" ca="1" si="90"/>
        <v>-25</v>
      </c>
      <c r="AP49" s="42"/>
      <c r="AQ49" s="42"/>
      <c r="AR49" s="42"/>
      <c r="AS49" s="42"/>
      <c r="AT49" s="42"/>
      <c r="AU49" s="42"/>
      <c r="AV49" s="42"/>
      <c r="AW49" s="42"/>
      <c r="AX49" s="42"/>
      <c r="AY49" s="42"/>
      <c r="AZ49" s="42"/>
      <c r="BA49" s="42"/>
      <c r="BB49" s="42"/>
      <c r="BC49" s="42"/>
      <c r="BD49" s="42"/>
      <c r="BE49" s="42"/>
      <c r="BF49" s="42"/>
      <c r="BG49" s="42"/>
      <c r="BH49" s="42"/>
      <c r="BI49" s="42"/>
    </row>
    <row r="50" spans="1:61" x14ac:dyDescent="0.25">
      <c r="A50" s="477"/>
      <c r="B50" s="21" t="s">
        <v>109</v>
      </c>
      <c r="C50" s="1" t="str">
        <f t="shared" si="4"/>
        <v>3/5</v>
      </c>
      <c r="D50" s="1" t="str">
        <f>IF(IF((COUNTIF(Professional_Skill_Options,'Skill Workbook'!F50)&gt;0),INDEX(Professional_Skill_Choices,MATCH(F50,Professional_Skill_Options,0)),FALSE),"X","")</f>
        <v/>
      </c>
      <c r="E50" s="1" t="str">
        <f>IF(IF((COUNTIF(Professional_Skill_Options,'Skill Workbook'!F50)&gt;0),INDEX(Professional_Skill_Knacks,MATCH(F50,Professional_Skill_Options,0)),FALSE),"X","")</f>
        <v/>
      </c>
      <c r="F50" t="s">
        <v>831</v>
      </c>
      <c r="G50" s="194" t="s">
        <v>827</v>
      </c>
      <c r="H50" s="195"/>
      <c r="I50" s="1" t="s">
        <v>94</v>
      </c>
      <c r="J50" s="46"/>
      <c r="AE50" s="1">
        <f>SUM(K50:INDEX(K50:AD50,Level))+J50-IF(H50="",0,1)</f>
        <v>0</v>
      </c>
      <c r="AF50" s="26">
        <f t="shared" si="87"/>
        <v>-25</v>
      </c>
      <c r="AG50" s="26" cm="1">
        <f t="array" aca="1" ref="AG50" ca="1">IF(I50="NA",0,INDIRECT(LEFT(I50,2))+INDIRECT(MID(I50,4,2))+INDIRECT(RIGHT(I50,2)))</f>
        <v>0</v>
      </c>
      <c r="AH50" s="26">
        <f t="shared" si="88"/>
        <v>0</v>
      </c>
      <c r="AI50" s="26">
        <f t="shared" si="89"/>
        <v>0</v>
      </c>
      <c r="AJ50" s="26"/>
      <c r="AK50" s="26">
        <f t="shared" ca="1" si="6"/>
        <v>-25</v>
      </c>
      <c r="AL50" s="32">
        <f t="shared" ca="1" si="90"/>
        <v>-25</v>
      </c>
      <c r="AP50" s="42"/>
      <c r="AQ50" s="42"/>
      <c r="AR50" s="42"/>
      <c r="AS50" s="42"/>
      <c r="AT50" s="42"/>
      <c r="AU50" s="42"/>
      <c r="AV50" s="42"/>
      <c r="AW50" s="42"/>
      <c r="AX50" s="42"/>
      <c r="AY50" s="42"/>
      <c r="AZ50" s="42"/>
      <c r="BA50" s="42"/>
      <c r="BB50" s="42"/>
      <c r="BC50" s="42"/>
      <c r="BD50" s="42"/>
      <c r="BE50" s="42"/>
      <c r="BF50" s="42"/>
      <c r="BG50" s="42"/>
      <c r="BH50" s="42"/>
      <c r="BI50" s="42"/>
    </row>
    <row r="51" spans="1:61" x14ac:dyDescent="0.25">
      <c r="A51" s="477"/>
      <c r="B51" s="21" t="s">
        <v>109</v>
      </c>
      <c r="C51" s="1" t="str">
        <f t="shared" si="4"/>
        <v>3/5</v>
      </c>
      <c r="D51" s="1" t="str">
        <f>IF(IF((COUNTIF(Professional_Skill_Options,'Skill Workbook'!F51)&gt;0),INDEX(Professional_Skill_Choices,MATCH(F51,Professional_Skill_Options,0)),FALSE),"X","")</f>
        <v/>
      </c>
      <c r="E51" s="1" t="str">
        <f>IF(IF((COUNTIF(Professional_Skill_Options,'Skill Workbook'!F51)&gt;0),INDEX(Professional_Skill_Knacks,MATCH(F51,Professional_Skill_Options,0)),FALSE),"X","")</f>
        <v/>
      </c>
      <c r="F51" t="s">
        <v>831</v>
      </c>
      <c r="G51" s="194" t="s">
        <v>828</v>
      </c>
      <c r="H51" s="195"/>
      <c r="I51" s="1" t="s">
        <v>94</v>
      </c>
      <c r="J51" s="46"/>
      <c r="AE51" s="1">
        <f>SUM(K51:INDEX(K51:AD51,Level))+J51-IF(H51="",0,1)</f>
        <v>0</v>
      </c>
      <c r="AF51" s="26">
        <f t="shared" si="87"/>
        <v>-25</v>
      </c>
      <c r="AG51" s="26" cm="1">
        <f t="array" aca="1" ref="AG51" ca="1">IF(I51="NA",0,INDIRECT(LEFT(I51,2))+INDIRECT(MID(I51,4,2))+INDIRECT(RIGHT(I51,2)))</f>
        <v>0</v>
      </c>
      <c r="AH51" s="26">
        <f t="shared" si="88"/>
        <v>0</v>
      </c>
      <c r="AI51" s="26">
        <f t="shared" si="89"/>
        <v>0</v>
      </c>
      <c r="AJ51" s="26"/>
      <c r="AK51" s="26">
        <f t="shared" ca="1" si="6"/>
        <v>-25</v>
      </c>
      <c r="AL51" s="32">
        <f t="shared" ca="1" si="90"/>
        <v>-25</v>
      </c>
      <c r="AP51" s="42"/>
      <c r="AQ51" s="42"/>
      <c r="AR51" s="42"/>
      <c r="AS51" s="42"/>
      <c r="AT51" s="42"/>
      <c r="AU51" s="42"/>
      <c r="AV51" s="42"/>
      <c r="AW51" s="42"/>
      <c r="AX51" s="42"/>
      <c r="AY51" s="42"/>
      <c r="AZ51" s="42"/>
      <c r="BA51" s="42"/>
      <c r="BB51" s="42"/>
      <c r="BC51" s="42"/>
      <c r="BD51" s="42"/>
      <c r="BE51" s="42"/>
      <c r="BF51" s="42"/>
      <c r="BG51" s="42"/>
      <c r="BH51" s="42"/>
      <c r="BI51" s="42"/>
    </row>
    <row r="52" spans="1:61" x14ac:dyDescent="0.25">
      <c r="A52" s="477"/>
      <c r="B52" s="21" t="s">
        <v>109</v>
      </c>
      <c r="C52" s="1" t="str">
        <f t="shared" si="4"/>
        <v>3/5</v>
      </c>
      <c r="D52" s="1" t="str">
        <f>IF(IF((COUNTIF(Professional_Skill_Options,'Skill Workbook'!F52)&gt;0),INDEX(Professional_Skill_Choices,MATCH(F52,Professional_Skill_Options,0)),FALSE),"X","")</f>
        <v/>
      </c>
      <c r="E52" s="1" t="str">
        <f>IF(IF((COUNTIF(Professional_Skill_Options,'Skill Workbook'!F52)&gt;0),INDEX(Professional_Skill_Knacks,MATCH(F52,Professional_Skill_Options,0)),FALSE),"X","")</f>
        <v/>
      </c>
      <c r="F52" t="s">
        <v>831</v>
      </c>
      <c r="G52" s="194" t="s">
        <v>829</v>
      </c>
      <c r="H52" s="195"/>
      <c r="I52" s="1" t="s">
        <v>94</v>
      </c>
      <c r="J52" s="46"/>
      <c r="AE52" s="1">
        <f>SUM(K52:INDEX(K52:AD52,Level))+J52-IF(H52="",0,1)</f>
        <v>0</v>
      </c>
      <c r="AF52" s="26">
        <f t="shared" si="87"/>
        <v>-25</v>
      </c>
      <c r="AG52" s="26" cm="1">
        <f t="array" aca="1" ref="AG52" ca="1">IF(I52="NA",0,INDIRECT(LEFT(I52,2))+INDIRECT(MID(I52,4,2))+INDIRECT(RIGHT(I52,2)))</f>
        <v>0</v>
      </c>
      <c r="AH52" s="26">
        <f t="shared" si="88"/>
        <v>0</v>
      </c>
      <c r="AI52" s="26">
        <f t="shared" si="89"/>
        <v>0</v>
      </c>
      <c r="AJ52" s="26"/>
      <c r="AK52" s="26">
        <f t="shared" ca="1" si="6"/>
        <v>-25</v>
      </c>
      <c r="AL52" s="32">
        <f t="shared" ca="1" si="90"/>
        <v>-25</v>
      </c>
      <c r="AP52" s="42"/>
      <c r="AQ52" s="42"/>
      <c r="AR52" s="42"/>
      <c r="AS52" s="42"/>
      <c r="AT52" s="42"/>
      <c r="AU52" s="42"/>
      <c r="AV52" s="42"/>
      <c r="AW52" s="42"/>
      <c r="AX52" s="42"/>
      <c r="AY52" s="42"/>
      <c r="AZ52" s="42"/>
      <c r="BA52" s="42"/>
      <c r="BB52" s="42"/>
      <c r="BC52" s="42"/>
      <c r="BD52" s="42"/>
      <c r="BE52" s="42"/>
      <c r="BF52" s="42"/>
      <c r="BG52" s="42"/>
      <c r="BH52" s="42"/>
      <c r="BI52" s="42"/>
    </row>
    <row r="53" spans="1:61" x14ac:dyDescent="0.25">
      <c r="A53" s="477"/>
      <c r="B53" s="21" t="s">
        <v>109</v>
      </c>
      <c r="C53" s="1" t="str">
        <f t="shared" si="4"/>
        <v>3/5</v>
      </c>
      <c r="D53" s="1" t="str">
        <f>IF(IF((COUNTIF(Professional_Skill_Options,'Skill Workbook'!F53)&gt;0),INDEX(Professional_Skill_Choices,MATCH(F53,Professional_Skill_Options,0)),FALSE),"X","")</f>
        <v/>
      </c>
      <c r="E53" s="1" t="str">
        <f>IF(IF((COUNTIF(Professional_Skill_Options,'Skill Workbook'!F53)&gt;0),INDEX(Professional_Skill_Knacks,MATCH(F53,Professional_Skill_Options,0)),FALSE),"X","")</f>
        <v/>
      </c>
      <c r="F53" t="s">
        <v>831</v>
      </c>
      <c r="G53" s="194" t="s">
        <v>830</v>
      </c>
      <c r="H53" s="195"/>
      <c r="I53" s="1" t="s">
        <v>94</v>
      </c>
      <c r="J53" s="46"/>
      <c r="AE53" s="1">
        <f>SUM(K53:INDEX(K53:AD53,Level))+J53-IF(H53="",0,1)</f>
        <v>0</v>
      </c>
      <c r="AF53" s="26">
        <f t="shared" si="87"/>
        <v>-25</v>
      </c>
      <c r="AG53" s="26" cm="1">
        <f t="array" aca="1" ref="AG53" ca="1">IF(I53="NA",0,INDIRECT(LEFT(I53,2))+INDIRECT(MID(I53,4,2))+INDIRECT(RIGHT(I53,2)))</f>
        <v>0</v>
      </c>
      <c r="AH53" s="26">
        <f t="shared" si="88"/>
        <v>0</v>
      </c>
      <c r="AI53" s="26">
        <f t="shared" si="89"/>
        <v>0</v>
      </c>
      <c r="AJ53" s="26"/>
      <c r="AK53" s="26">
        <f t="shared" ca="1" si="6"/>
        <v>-25</v>
      </c>
      <c r="AL53" s="32">
        <f t="shared" ca="1" si="90"/>
        <v>-25</v>
      </c>
      <c r="AP53" s="42"/>
      <c r="AQ53" s="42"/>
      <c r="AR53" s="42"/>
      <c r="AS53" s="42"/>
      <c r="AT53" s="42"/>
      <c r="AU53" s="42"/>
      <c r="AV53" s="42"/>
      <c r="AW53" s="42"/>
      <c r="AX53" s="42"/>
      <c r="AY53" s="42"/>
      <c r="AZ53" s="42"/>
      <c r="BA53" s="42"/>
      <c r="BB53" s="42"/>
      <c r="BC53" s="42"/>
      <c r="BD53" s="42"/>
      <c r="BE53" s="42"/>
      <c r="BF53" s="42"/>
      <c r="BG53" s="42"/>
      <c r="BH53" s="42"/>
      <c r="BI53" s="42"/>
    </row>
    <row r="54" spans="1:61" x14ac:dyDescent="0.25">
      <c r="A54" s="477"/>
      <c r="B54" s="21" t="s">
        <v>109</v>
      </c>
      <c r="C54" s="1" t="str">
        <f t="shared" si="4"/>
        <v>3/5</v>
      </c>
      <c r="D54" s="1" t="str">
        <f>IF(IF((COUNTIF(Professional_Skill_Options,'Skill Workbook'!F54)&gt;0),INDEX(Professional_Skill_Choices,MATCH(F54,Professional_Skill_Options,0)),FALSE),"X","")</f>
        <v/>
      </c>
      <c r="E54" s="1" t="str">
        <f>IF(IF((COUNTIF(Professional_Skill_Options,'Skill Workbook'!F54)&gt;0),INDEX(Professional_Skill_Knacks,MATCH(F54,Professional_Skill_Options,0)),FALSE),"X","")</f>
        <v/>
      </c>
      <c r="F54" t="s">
        <v>110</v>
      </c>
      <c r="G54" s="196"/>
      <c r="H54" s="198"/>
      <c r="I54" s="1" t="s">
        <v>94</v>
      </c>
      <c r="J54" s="46"/>
      <c r="AE54" s="1">
        <f>SUM(K54:INDEX(K54:AD54,Level))+J54-IF(H54="",0,1)</f>
        <v>0</v>
      </c>
      <c r="AF54" s="26">
        <f t="shared" si="5"/>
        <v>-25</v>
      </c>
      <c r="AG54" s="26" cm="1">
        <f t="array" aca="1" ref="AG54" ca="1">IF(I54="NA",0,INDIRECT(LEFT(I54,2))+INDIRECT(MID(I54,4,2))+INDIRECT(RIGHT(I54,2)))</f>
        <v>0</v>
      </c>
      <c r="AH54" s="26">
        <f t="shared" si="27"/>
        <v>0</v>
      </c>
      <c r="AI54" s="26">
        <f t="shared" si="28"/>
        <v>0</v>
      </c>
      <c r="AJ54" s="26"/>
      <c r="AK54" s="26">
        <f t="shared" ca="1" si="6"/>
        <v>-25</v>
      </c>
      <c r="AL54" s="32">
        <f t="shared" ca="1" si="29"/>
        <v>-25</v>
      </c>
      <c r="AP54" s="42">
        <f t="shared" si="7"/>
        <v>0</v>
      </c>
      <c r="AQ54" s="42">
        <f t="shared" si="8"/>
        <v>0</v>
      </c>
      <c r="AR54" s="42">
        <f t="shared" si="9"/>
        <v>0</v>
      </c>
      <c r="AS54" s="42">
        <f t="shared" si="10"/>
        <v>0</v>
      </c>
      <c r="AT54" s="42">
        <f t="shared" si="11"/>
        <v>0</v>
      </c>
      <c r="AU54" s="42">
        <f t="shared" si="12"/>
        <v>0</v>
      </c>
      <c r="AV54" s="42">
        <f t="shared" si="13"/>
        <v>0</v>
      </c>
      <c r="AW54" s="42">
        <f t="shared" si="14"/>
        <v>0</v>
      </c>
      <c r="AX54" s="42">
        <f t="shared" si="15"/>
        <v>0</v>
      </c>
      <c r="AY54" s="42">
        <f t="shared" si="16"/>
        <v>0</v>
      </c>
      <c r="AZ54" s="42">
        <f t="shared" si="17"/>
        <v>0</v>
      </c>
      <c r="BA54" s="42">
        <f t="shared" si="18"/>
        <v>0</v>
      </c>
      <c r="BB54" s="42">
        <f t="shared" si="19"/>
        <v>0</v>
      </c>
      <c r="BC54" s="42">
        <f t="shared" si="20"/>
        <v>0</v>
      </c>
      <c r="BD54" s="42">
        <f t="shared" si="21"/>
        <v>0</v>
      </c>
      <c r="BE54" s="42">
        <f t="shared" si="22"/>
        <v>0</v>
      </c>
      <c r="BF54" s="42">
        <f t="shared" si="23"/>
        <v>0</v>
      </c>
      <c r="BG54" s="42">
        <f t="shared" si="24"/>
        <v>0</v>
      </c>
      <c r="BH54" s="42">
        <f t="shared" si="25"/>
        <v>0</v>
      </c>
      <c r="BI54" s="42">
        <f t="shared" si="26"/>
        <v>0</v>
      </c>
    </row>
    <row r="55" spans="1:61" x14ac:dyDescent="0.25">
      <c r="A55" s="477"/>
      <c r="B55" s="21" t="s">
        <v>109</v>
      </c>
      <c r="C55" s="1" t="str">
        <f t="shared" si="4"/>
        <v>3/5</v>
      </c>
      <c r="D55" s="1" t="str">
        <f>IF(IF((COUNTIF(Professional_Skill_Options,'Skill Workbook'!F55)&gt;0),INDEX(Professional_Skill_Choices,MATCH(F55,Professional_Skill_Options,0)),FALSE),"X","")</f>
        <v/>
      </c>
      <c r="E55" s="1" t="str">
        <f>IF(IF((COUNTIF(Professional_Skill_Options,'Skill Workbook'!F55)&gt;0),INDEX(Professional_Skill_Knacks,MATCH(F55,Professional_Skill_Options,0)),FALSE),"X","")</f>
        <v/>
      </c>
      <c r="F55" t="s">
        <v>111</v>
      </c>
      <c r="G55" s="196"/>
      <c r="H55" s="198"/>
      <c r="I55" s="1" t="s">
        <v>94</v>
      </c>
      <c r="J55" s="46"/>
      <c r="AE55" s="1">
        <f>SUM(K55:INDEX(K55:AD55,Level))+J55-IF(H55="",0,1)</f>
        <v>0</v>
      </c>
      <c r="AF55" s="26">
        <f t="shared" si="5"/>
        <v>-25</v>
      </c>
      <c r="AG55" s="26" cm="1">
        <f t="array" aca="1" ref="AG55" ca="1">IF(I55="NA",0,INDIRECT(LEFT(I55,2))+INDIRECT(MID(I55,4,2))+INDIRECT(RIGHT(I55,2)))</f>
        <v>0</v>
      </c>
      <c r="AH55" s="26">
        <f t="shared" si="27"/>
        <v>0</v>
      </c>
      <c r="AI55" s="26">
        <f t="shared" si="28"/>
        <v>0</v>
      </c>
      <c r="AJ55" s="26"/>
      <c r="AK55" s="26">
        <f t="shared" ca="1" si="6"/>
        <v>-25</v>
      </c>
      <c r="AL55" s="32">
        <f t="shared" ca="1" si="29"/>
        <v>-25</v>
      </c>
      <c r="AP55" s="42">
        <f t="shared" si="7"/>
        <v>0</v>
      </c>
      <c r="AQ55" s="42">
        <f t="shared" si="8"/>
        <v>0</v>
      </c>
      <c r="AR55" s="42">
        <f t="shared" si="9"/>
        <v>0</v>
      </c>
      <c r="AS55" s="42">
        <f t="shared" si="10"/>
        <v>0</v>
      </c>
      <c r="AT55" s="42">
        <f t="shared" si="11"/>
        <v>0</v>
      </c>
      <c r="AU55" s="42">
        <f t="shared" si="12"/>
        <v>0</v>
      </c>
      <c r="AV55" s="42">
        <f t="shared" si="13"/>
        <v>0</v>
      </c>
      <c r="AW55" s="42">
        <f t="shared" si="14"/>
        <v>0</v>
      </c>
      <c r="AX55" s="42">
        <f t="shared" si="15"/>
        <v>0</v>
      </c>
      <c r="AY55" s="42">
        <f t="shared" si="16"/>
        <v>0</v>
      </c>
      <c r="AZ55" s="42">
        <f t="shared" si="17"/>
        <v>0</v>
      </c>
      <c r="BA55" s="42">
        <f t="shared" si="18"/>
        <v>0</v>
      </c>
      <c r="BB55" s="42">
        <f t="shared" si="19"/>
        <v>0</v>
      </c>
      <c r="BC55" s="42">
        <f t="shared" si="20"/>
        <v>0</v>
      </c>
      <c r="BD55" s="42">
        <f t="shared" si="21"/>
        <v>0</v>
      </c>
      <c r="BE55" s="42">
        <f t="shared" si="22"/>
        <v>0</v>
      </c>
      <c r="BF55" s="42">
        <f t="shared" si="23"/>
        <v>0</v>
      </c>
      <c r="BG55" s="42">
        <f t="shared" si="24"/>
        <v>0</v>
      </c>
      <c r="BH55" s="42">
        <f t="shared" si="25"/>
        <v>0</v>
      </c>
      <c r="BI55" s="42">
        <f t="shared" si="26"/>
        <v>0</v>
      </c>
    </row>
    <row r="56" spans="1:61" x14ac:dyDescent="0.25">
      <c r="A56" s="477"/>
      <c r="B56" s="21" t="s">
        <v>109</v>
      </c>
      <c r="C56" s="1" t="str">
        <f t="shared" si="4"/>
        <v>3/5</v>
      </c>
      <c r="D56" s="1" t="str">
        <f>IF(IF((COUNTIF(Professional_Skill_Options,'Skill Workbook'!F56)&gt;0),INDEX(Professional_Skill_Choices,MATCH(F56,Professional_Skill_Options,0)),FALSE),"X","")</f>
        <v/>
      </c>
      <c r="E56" s="1" t="str">
        <f>IF(IF((COUNTIF(Professional_Skill_Options,'Skill Workbook'!F56)&gt;0),INDEX(Professional_Skill_Knacks,MATCH(F56,Professional_Skill_Options,0)),FALSE),"X","")</f>
        <v/>
      </c>
      <c r="F56" t="s">
        <v>112</v>
      </c>
      <c r="G56" s="196"/>
      <c r="H56" s="198"/>
      <c r="I56" s="1" t="s">
        <v>94</v>
      </c>
      <c r="J56" s="46"/>
      <c r="AE56" s="1">
        <f>SUM(K56:INDEX(K56:AD56,Level))+J56-IF(H56="",0,1)</f>
        <v>0</v>
      </c>
      <c r="AF56" s="26">
        <f t="shared" si="5"/>
        <v>-25</v>
      </c>
      <c r="AG56" s="26" cm="1">
        <f t="array" aca="1" ref="AG56" ca="1">IF(I56="NA",0,INDIRECT(LEFT(I56,2))+INDIRECT(MID(I56,4,2))+INDIRECT(RIGHT(I56,2)))</f>
        <v>0</v>
      </c>
      <c r="AH56" s="26">
        <f t="shared" si="27"/>
        <v>0</v>
      </c>
      <c r="AI56" s="26">
        <f t="shared" si="28"/>
        <v>0</v>
      </c>
      <c r="AJ56" s="26"/>
      <c r="AK56" s="26">
        <f t="shared" ca="1" si="6"/>
        <v>-25</v>
      </c>
      <c r="AL56" s="32">
        <f t="shared" ca="1" si="29"/>
        <v>-25</v>
      </c>
      <c r="AP56" s="42">
        <f t="shared" si="7"/>
        <v>0</v>
      </c>
      <c r="AQ56" s="42">
        <f t="shared" si="8"/>
        <v>0</v>
      </c>
      <c r="AR56" s="42">
        <f t="shared" si="9"/>
        <v>0</v>
      </c>
      <c r="AS56" s="42">
        <f t="shared" si="10"/>
        <v>0</v>
      </c>
      <c r="AT56" s="42">
        <f t="shared" si="11"/>
        <v>0</v>
      </c>
      <c r="AU56" s="42">
        <f t="shared" si="12"/>
        <v>0</v>
      </c>
      <c r="AV56" s="42">
        <f t="shared" si="13"/>
        <v>0</v>
      </c>
      <c r="AW56" s="42">
        <f t="shared" si="14"/>
        <v>0</v>
      </c>
      <c r="AX56" s="42">
        <f t="shared" si="15"/>
        <v>0</v>
      </c>
      <c r="AY56" s="42">
        <f t="shared" si="16"/>
        <v>0</v>
      </c>
      <c r="AZ56" s="42">
        <f t="shared" si="17"/>
        <v>0</v>
      </c>
      <c r="BA56" s="42">
        <f t="shared" si="18"/>
        <v>0</v>
      </c>
      <c r="BB56" s="42">
        <f t="shared" si="19"/>
        <v>0</v>
      </c>
      <c r="BC56" s="42">
        <f t="shared" si="20"/>
        <v>0</v>
      </c>
      <c r="BD56" s="42">
        <f t="shared" si="21"/>
        <v>0</v>
      </c>
      <c r="BE56" s="42">
        <f t="shared" si="22"/>
        <v>0</v>
      </c>
      <c r="BF56" s="42">
        <f t="shared" si="23"/>
        <v>0</v>
      </c>
      <c r="BG56" s="42">
        <f t="shared" si="24"/>
        <v>0</v>
      </c>
      <c r="BH56" s="42">
        <f t="shared" si="25"/>
        <v>0</v>
      </c>
      <c r="BI56" s="42">
        <f t="shared" si="26"/>
        <v>0</v>
      </c>
    </row>
    <row r="57" spans="1:61" x14ac:dyDescent="0.25">
      <c r="A57" s="477"/>
      <c r="B57" s="21" t="s">
        <v>109</v>
      </c>
      <c r="C57" s="1" t="str">
        <f t="shared" si="4"/>
        <v>3/5</v>
      </c>
      <c r="D57" s="1" t="str">
        <f>IF(IF((COUNTIF(Professional_Skill_Options,'Skill Workbook'!F57)&gt;0),INDEX(Professional_Skill_Choices,MATCH(F57,Professional_Skill_Options,0)),FALSE),"X","")</f>
        <v/>
      </c>
      <c r="E57" s="1" t="str">
        <f>IF(IF((COUNTIF(Professional_Skill_Options,'Skill Workbook'!F57)&gt;0),INDEX(Professional_Skill_Knacks,MATCH(F57,Professional_Skill_Options,0)),FALSE),"X","")</f>
        <v/>
      </c>
      <c r="F57" t="s">
        <v>113</v>
      </c>
      <c r="G57" s="196"/>
      <c r="H57" s="198"/>
      <c r="I57" s="1" t="s">
        <v>94</v>
      </c>
      <c r="J57" s="46"/>
      <c r="AE57" s="1">
        <f>SUM(K57:INDEX(K57:AD57,Level))+J57-IF(H57="",0,1)</f>
        <v>0</v>
      </c>
      <c r="AF57" s="26">
        <f t="shared" si="5"/>
        <v>-25</v>
      </c>
      <c r="AG57" s="26" cm="1">
        <f t="array" aca="1" ref="AG57" ca="1">IF(I57="NA",0,INDIRECT(LEFT(I57,2))+INDIRECT(MID(I57,4,2))+INDIRECT(RIGHT(I57,2)))</f>
        <v>0</v>
      </c>
      <c r="AH57" s="26">
        <f t="shared" si="27"/>
        <v>0</v>
      </c>
      <c r="AI57" s="26">
        <f t="shared" si="28"/>
        <v>0</v>
      </c>
      <c r="AJ57" s="26"/>
      <c r="AK57" s="26">
        <f t="shared" ca="1" si="6"/>
        <v>-25</v>
      </c>
      <c r="AL57" s="32">
        <f t="shared" ca="1" si="29"/>
        <v>-25</v>
      </c>
      <c r="AP57" s="42">
        <f t="shared" si="7"/>
        <v>0</v>
      </c>
      <c r="AQ57" s="42">
        <f t="shared" si="8"/>
        <v>0</v>
      </c>
      <c r="AR57" s="42">
        <f t="shared" si="9"/>
        <v>0</v>
      </c>
      <c r="AS57" s="42">
        <f t="shared" si="10"/>
        <v>0</v>
      </c>
      <c r="AT57" s="42">
        <f t="shared" si="11"/>
        <v>0</v>
      </c>
      <c r="AU57" s="42">
        <f t="shared" si="12"/>
        <v>0</v>
      </c>
      <c r="AV57" s="42">
        <f t="shared" si="13"/>
        <v>0</v>
      </c>
      <c r="AW57" s="42">
        <f t="shared" si="14"/>
        <v>0</v>
      </c>
      <c r="AX57" s="42">
        <f t="shared" si="15"/>
        <v>0</v>
      </c>
      <c r="AY57" s="42">
        <f t="shared" si="16"/>
        <v>0</v>
      </c>
      <c r="AZ57" s="42">
        <f t="shared" si="17"/>
        <v>0</v>
      </c>
      <c r="BA57" s="42">
        <f t="shared" si="18"/>
        <v>0</v>
      </c>
      <c r="BB57" s="42">
        <f t="shared" si="19"/>
        <v>0</v>
      </c>
      <c r="BC57" s="42">
        <f t="shared" si="20"/>
        <v>0</v>
      </c>
      <c r="BD57" s="42">
        <f t="shared" si="21"/>
        <v>0</v>
      </c>
      <c r="BE57" s="42">
        <f t="shared" si="22"/>
        <v>0</v>
      </c>
      <c r="BF57" s="42">
        <f t="shared" si="23"/>
        <v>0</v>
      </c>
      <c r="BG57" s="42">
        <f t="shared" si="24"/>
        <v>0</v>
      </c>
      <c r="BH57" s="42">
        <f t="shared" si="25"/>
        <v>0</v>
      </c>
      <c r="BI57" s="42">
        <f t="shared" si="26"/>
        <v>0</v>
      </c>
    </row>
    <row r="58" spans="1:61" x14ac:dyDescent="0.25">
      <c r="A58" s="477"/>
      <c r="B58" s="21" t="s">
        <v>109</v>
      </c>
      <c r="C58" s="1" t="str">
        <f t="shared" si="4"/>
        <v>3/5</v>
      </c>
      <c r="D58" s="1" t="str">
        <f>IF(IF((COUNTIF(Professional_Skill_Options,'Skill Workbook'!F58)&gt;0),INDEX(Professional_Skill_Choices,MATCH(F58,Professional_Skill_Options,0)),FALSE),"X","")</f>
        <v/>
      </c>
      <c r="E58" s="1" t="str">
        <f>IF(IF((COUNTIF(Professional_Skill_Options,'Skill Workbook'!F58)&gt;0),INDEX(Professional_Skill_Knacks,MATCH(F58,Professional_Skill_Options,0)),FALSE),"X","")</f>
        <v/>
      </c>
      <c r="F58" t="s">
        <v>114</v>
      </c>
      <c r="G58" s="196"/>
      <c r="H58" s="198"/>
      <c r="I58" s="1" t="s">
        <v>94</v>
      </c>
      <c r="J58" s="46"/>
      <c r="AE58" s="1">
        <f>SUM(K58:INDEX(K58:AD58,Level))+J58-IF(H58="",0,1)</f>
        <v>0</v>
      </c>
      <c r="AF58" s="26">
        <f t="shared" si="5"/>
        <v>-25</v>
      </c>
      <c r="AG58" s="26" cm="1">
        <f t="array" aca="1" ref="AG58" ca="1">IF(I58="NA",0,INDIRECT(LEFT(I58,2))+INDIRECT(MID(I58,4,2))+INDIRECT(RIGHT(I58,2)))</f>
        <v>0</v>
      </c>
      <c r="AH58" s="26">
        <f t="shared" si="27"/>
        <v>0</v>
      </c>
      <c r="AI58" s="26">
        <f t="shared" si="28"/>
        <v>0</v>
      </c>
      <c r="AJ58" s="26"/>
      <c r="AK58" s="26">
        <f t="shared" ca="1" si="6"/>
        <v>-25</v>
      </c>
      <c r="AL58" s="32">
        <f t="shared" ca="1" si="29"/>
        <v>-25</v>
      </c>
      <c r="AP58" s="42">
        <f t="shared" si="7"/>
        <v>0</v>
      </c>
      <c r="AQ58" s="42">
        <f t="shared" si="8"/>
        <v>0</v>
      </c>
      <c r="AR58" s="42">
        <f t="shared" si="9"/>
        <v>0</v>
      </c>
      <c r="AS58" s="42">
        <f t="shared" si="10"/>
        <v>0</v>
      </c>
      <c r="AT58" s="42">
        <f t="shared" si="11"/>
        <v>0</v>
      </c>
      <c r="AU58" s="42">
        <f t="shared" si="12"/>
        <v>0</v>
      </c>
      <c r="AV58" s="42">
        <f t="shared" si="13"/>
        <v>0</v>
      </c>
      <c r="AW58" s="42">
        <f t="shared" si="14"/>
        <v>0</v>
      </c>
      <c r="AX58" s="42">
        <f t="shared" si="15"/>
        <v>0</v>
      </c>
      <c r="AY58" s="42">
        <f t="shared" si="16"/>
        <v>0</v>
      </c>
      <c r="AZ58" s="42">
        <f t="shared" si="17"/>
        <v>0</v>
      </c>
      <c r="BA58" s="42">
        <f t="shared" si="18"/>
        <v>0</v>
      </c>
      <c r="BB58" s="42">
        <f t="shared" si="19"/>
        <v>0</v>
      </c>
      <c r="BC58" s="42">
        <f t="shared" si="20"/>
        <v>0</v>
      </c>
      <c r="BD58" s="42">
        <f t="shared" si="21"/>
        <v>0</v>
      </c>
      <c r="BE58" s="42">
        <f t="shared" si="22"/>
        <v>0</v>
      </c>
      <c r="BF58" s="42">
        <f t="shared" si="23"/>
        <v>0</v>
      </c>
      <c r="BG58" s="42">
        <f t="shared" si="24"/>
        <v>0</v>
      </c>
      <c r="BH58" s="42">
        <f t="shared" si="25"/>
        <v>0</v>
      </c>
      <c r="BI58" s="42">
        <f t="shared" si="26"/>
        <v>0</v>
      </c>
    </row>
    <row r="59" spans="1:61" x14ac:dyDescent="0.25">
      <c r="A59" s="477"/>
      <c r="B59" s="21" t="s">
        <v>115</v>
      </c>
      <c r="C59" s="1" t="e">
        <f t="shared" ref="C59:C66" si="91">Cost_Melee</f>
        <v>#N/A</v>
      </c>
      <c r="D59" s="1" t="str">
        <f>IF(IF((COUNTIF(Professional_Skill_Options,'Skill Workbook'!F59)&gt;0),INDEX(Professional_Skill_Choices,MATCH(F59,Professional_Skill_Options,0)),FALSE),"X","")</f>
        <v/>
      </c>
      <c r="E59" s="1" t="str">
        <f>IF(IF((COUNTIF(Professional_Skill_Options,'Skill Workbook'!F59)&gt;0),INDEX(Professional_Skill_Knacks,MATCH(F59,Professional_Skill_Options,0)),FALSE),"X","")</f>
        <v/>
      </c>
      <c r="F59" t="s">
        <v>302</v>
      </c>
      <c r="G59" s="194" t="s">
        <v>415</v>
      </c>
      <c r="H59" s="195"/>
      <c r="I59" s="1" t="s">
        <v>119</v>
      </c>
      <c r="J59" s="1">
        <f>'Base Details'!J110</f>
        <v>0</v>
      </c>
      <c r="AE59" s="1">
        <f>SUM(K59:INDEX(K59:AD59,Level))+J59-IF(H59="",0,1)</f>
        <v>0</v>
      </c>
      <c r="AF59" s="26">
        <f t="shared" si="5"/>
        <v>-25</v>
      </c>
      <c r="AG59" s="26" t="e" cm="1">
        <f t="array" aca="1" ref="AG59" ca="1">IF(I59="NA",0,INDIRECT(LEFT(I59,2))+INDIRECT(MID(I59,4,2))+INDIRECT(RIGHT(I59,2)))</f>
        <v>#N/A</v>
      </c>
      <c r="AH59" s="26">
        <f t="shared" si="27"/>
        <v>0</v>
      </c>
      <c r="AI59" s="26">
        <f t="shared" si="28"/>
        <v>0</v>
      </c>
      <c r="AJ59" s="26"/>
      <c r="AK59" s="26" t="e">
        <f t="shared" ca="1" si="6"/>
        <v>#N/A</v>
      </c>
      <c r="AL59" s="32" t="e">
        <f t="shared" ca="1" si="29"/>
        <v>#N/A</v>
      </c>
      <c r="AP59" s="42">
        <f t="shared" si="7"/>
        <v>0</v>
      </c>
      <c r="AQ59" s="42">
        <f t="shared" si="8"/>
        <v>0</v>
      </c>
      <c r="AR59" s="42">
        <f t="shared" si="9"/>
        <v>0</v>
      </c>
      <c r="AS59" s="42">
        <f t="shared" si="10"/>
        <v>0</v>
      </c>
      <c r="AT59" s="42">
        <f t="shared" si="11"/>
        <v>0</v>
      </c>
      <c r="AU59" s="42">
        <f t="shared" si="12"/>
        <v>0</v>
      </c>
      <c r="AV59" s="42">
        <f t="shared" si="13"/>
        <v>0</v>
      </c>
      <c r="AW59" s="42">
        <f t="shared" si="14"/>
        <v>0</v>
      </c>
      <c r="AX59" s="42">
        <f t="shared" si="15"/>
        <v>0</v>
      </c>
      <c r="AY59" s="42">
        <f t="shared" si="16"/>
        <v>0</v>
      </c>
      <c r="AZ59" s="42">
        <f t="shared" si="17"/>
        <v>0</v>
      </c>
      <c r="BA59" s="42">
        <f t="shared" si="18"/>
        <v>0</v>
      </c>
      <c r="BB59" s="42">
        <f t="shared" si="19"/>
        <v>0</v>
      </c>
      <c r="BC59" s="42">
        <f t="shared" si="20"/>
        <v>0</v>
      </c>
      <c r="BD59" s="42">
        <f t="shared" si="21"/>
        <v>0</v>
      </c>
      <c r="BE59" s="42">
        <f t="shared" si="22"/>
        <v>0</v>
      </c>
      <c r="BF59" s="42">
        <f t="shared" si="23"/>
        <v>0</v>
      </c>
      <c r="BG59" s="42">
        <f t="shared" si="24"/>
        <v>0</v>
      </c>
      <c r="BH59" s="42">
        <f t="shared" si="25"/>
        <v>0</v>
      </c>
      <c r="BI59" s="42">
        <f t="shared" si="26"/>
        <v>0</v>
      </c>
    </row>
    <row r="60" spans="1:61" x14ac:dyDescent="0.25">
      <c r="A60" s="477"/>
      <c r="B60" s="21" t="s">
        <v>115</v>
      </c>
      <c r="C60" s="1" t="e">
        <f t="shared" si="91"/>
        <v>#N/A</v>
      </c>
      <c r="D60" s="1" t="str">
        <f>IF(IF((COUNTIF(Professional_Skill_Options,'Skill Workbook'!F60)&gt;0),INDEX(Professional_Skill_Choices,MATCH(F60,Professional_Skill_Options,0)),FALSE),"X","")</f>
        <v/>
      </c>
      <c r="E60" s="1" t="str">
        <f>IF(IF((COUNTIF(Professional_Skill_Options,'Skill Workbook'!F60)&gt;0),INDEX(Professional_Skill_Knacks,MATCH(F60,Professional_Skill_Options,0)),FALSE),"X","")</f>
        <v/>
      </c>
      <c r="F60" t="s">
        <v>302</v>
      </c>
      <c r="G60" s="194" t="s">
        <v>416</v>
      </c>
      <c r="H60" s="195"/>
      <c r="I60" s="1" t="s">
        <v>119</v>
      </c>
      <c r="J60" s="1">
        <f>'Base Details'!J111</f>
        <v>0</v>
      </c>
      <c r="AE60" s="1">
        <f>SUM(K60:INDEX(K60:AD60,Level))+J60-IF(H60="",0,1)</f>
        <v>0</v>
      </c>
      <c r="AF60" s="26">
        <f t="shared" ref="AF60:AF64" si="92">IF(AE60&gt;30,100+AE60,VLOOKUP(AE60,Rank_Bonus,2,FALSE))</f>
        <v>-25</v>
      </c>
      <c r="AG60" s="26" t="e" cm="1">
        <f t="array" aca="1" ref="AG60" ca="1">IF(I60="NA",0,INDIRECT(LEFT(I60,2))+INDIRECT(MID(I60,4,2))+INDIRECT(RIGHT(I60,2)))</f>
        <v>#N/A</v>
      </c>
      <c r="AH60" s="26">
        <f t="shared" ref="AH60:AH64" si="93">IF(D60="X",MIN(30,AE60),0)</f>
        <v>0</v>
      </c>
      <c r="AI60" s="26">
        <f t="shared" ref="AI60:AI64" si="94">IF(E60="X",5,0)</f>
        <v>0</v>
      </c>
      <c r="AJ60" s="26"/>
      <c r="AK60" s="26" t="e">
        <f t="shared" ca="1" si="6"/>
        <v>#N/A</v>
      </c>
      <c r="AL60" s="32" t="e">
        <f t="shared" ca="1" si="29"/>
        <v>#N/A</v>
      </c>
      <c r="AP60" s="42">
        <f t="shared" ref="AP60:AP64" si="95">_xlfn.NUMBERVALUE(IF(K60=0,0,IF(K60=1,LEFT($C60,FIND("/",$C60)-1),SUM(LEFT($C60,FIND("/",$C60)-1),RIGHT($C60,LEN($C60)-FIND("/",$C60))))))</f>
        <v>0</v>
      </c>
      <c r="AQ60" s="42">
        <f t="shared" ref="AQ60:AQ64" si="96">_xlfn.NUMBERVALUE(IF(L60=0,0,IF(L60=1,LEFT($C60,FIND("/",$C60)-1),SUM(LEFT($C60,FIND("/",$C60)-1),RIGHT($C60,LEN($C60)-FIND("/",$C60))))))</f>
        <v>0</v>
      </c>
      <c r="AR60" s="42">
        <f t="shared" ref="AR60:AR64" si="97">_xlfn.NUMBERVALUE(IF(M60=0,0,IF(M60=1,LEFT($C60,FIND("/",$C60)-1),SUM(LEFT($C60,FIND("/",$C60)-1),RIGHT($C60,LEN($C60)-FIND("/",$C60))))))</f>
        <v>0</v>
      </c>
      <c r="AS60" s="42">
        <f t="shared" ref="AS60:AS64" si="98">_xlfn.NUMBERVALUE(IF(N60=0,0,IF(N60=1,LEFT($C60,FIND("/",$C60)-1),SUM(LEFT($C60,FIND("/",$C60)-1),RIGHT($C60,LEN($C60)-FIND("/",$C60))))))</f>
        <v>0</v>
      </c>
      <c r="AT60" s="42">
        <f t="shared" ref="AT60:AT64" si="99">_xlfn.NUMBERVALUE(IF(O60=0,0,IF(O60=1,LEFT($C60,FIND("/",$C60)-1),SUM(LEFT($C60,FIND("/",$C60)-1),RIGHT($C60,LEN($C60)-FIND("/",$C60))))))</f>
        <v>0</v>
      </c>
      <c r="AU60" s="42">
        <f t="shared" ref="AU60:AU64" si="100">_xlfn.NUMBERVALUE(IF(P60=0,0,IF(P60=1,LEFT($C60,FIND("/",$C60)-1),SUM(LEFT($C60,FIND("/",$C60)-1),RIGHT($C60,LEN($C60)-FIND("/",$C60))))))</f>
        <v>0</v>
      </c>
      <c r="AV60" s="42">
        <f t="shared" ref="AV60:AV64" si="101">_xlfn.NUMBERVALUE(IF(Q60=0,0,IF(Q60=1,LEFT($C60,FIND("/",$C60)-1),SUM(LEFT($C60,FIND("/",$C60)-1),RIGHT($C60,LEN($C60)-FIND("/",$C60))))))</f>
        <v>0</v>
      </c>
      <c r="AW60" s="42">
        <f t="shared" ref="AW60:AW64" si="102">_xlfn.NUMBERVALUE(IF(R60=0,0,IF(R60=1,LEFT($C60,FIND("/",$C60)-1),SUM(LEFT($C60,FIND("/",$C60)-1),RIGHT($C60,LEN($C60)-FIND("/",$C60))))))</f>
        <v>0</v>
      </c>
      <c r="AX60" s="42">
        <f t="shared" ref="AX60:AX64" si="103">_xlfn.NUMBERVALUE(IF(S60=0,0,IF(S60=1,LEFT($C60,FIND("/",$C60)-1),SUM(LEFT($C60,FIND("/",$C60)-1),RIGHT($C60,LEN($C60)-FIND("/",$C60))))))</f>
        <v>0</v>
      </c>
      <c r="AY60" s="42">
        <f t="shared" ref="AY60:AY64" si="104">_xlfn.NUMBERVALUE(IF(T60=0,0,IF(T60=1,LEFT($C60,FIND("/",$C60)-1),SUM(LEFT($C60,FIND("/",$C60)-1),RIGHT($C60,LEN($C60)-FIND("/",$C60))))))</f>
        <v>0</v>
      </c>
      <c r="AZ60" s="42">
        <f t="shared" ref="AZ60:AZ64" si="105">_xlfn.NUMBERVALUE(IF(U60=0,0,IF(U60=1,LEFT($C60,FIND("/",$C60)-1),SUM(LEFT($C60,FIND("/",$C60)-1),RIGHT($C60,LEN($C60)-FIND("/",$C60))))))</f>
        <v>0</v>
      </c>
      <c r="BA60" s="42">
        <f t="shared" ref="BA60:BA64" si="106">_xlfn.NUMBERVALUE(IF(V60=0,0,IF(V60=1,LEFT($C60,FIND("/",$C60)-1),SUM(LEFT($C60,FIND("/",$C60)-1),RIGHT($C60,LEN($C60)-FIND("/",$C60))))))</f>
        <v>0</v>
      </c>
      <c r="BB60" s="42">
        <f t="shared" ref="BB60:BB64" si="107">_xlfn.NUMBERVALUE(IF(W60=0,0,IF(W60=1,LEFT($C60,FIND("/",$C60)-1),SUM(LEFT($C60,FIND("/",$C60)-1),RIGHT($C60,LEN($C60)-FIND("/",$C60))))))</f>
        <v>0</v>
      </c>
      <c r="BC60" s="42">
        <f t="shared" ref="BC60:BC64" si="108">_xlfn.NUMBERVALUE(IF(X60=0,0,IF(X60=1,LEFT($C60,FIND("/",$C60)-1),SUM(LEFT($C60,FIND("/",$C60)-1),RIGHT($C60,LEN($C60)-FIND("/",$C60))))))</f>
        <v>0</v>
      </c>
      <c r="BD60" s="42">
        <f t="shared" ref="BD60:BD64" si="109">_xlfn.NUMBERVALUE(IF(Y60=0,0,IF(Y60=1,LEFT($C60,FIND("/",$C60)-1),SUM(LEFT($C60,FIND("/",$C60)-1),RIGHT($C60,LEN($C60)-FIND("/",$C60))))))</f>
        <v>0</v>
      </c>
      <c r="BE60" s="42">
        <f t="shared" ref="BE60:BE64" si="110">_xlfn.NUMBERVALUE(IF(Z60=0,0,IF(Z60=1,LEFT($C60,FIND("/",$C60)-1),SUM(LEFT($C60,FIND("/",$C60)-1),RIGHT($C60,LEN($C60)-FIND("/",$C60))))))</f>
        <v>0</v>
      </c>
      <c r="BF60" s="42">
        <f t="shared" ref="BF60:BF64" si="111">_xlfn.NUMBERVALUE(IF(AA60=0,0,IF(AA60=1,LEFT($C60,FIND("/",$C60)-1),SUM(LEFT($C60,FIND("/",$C60)-1),RIGHT($C60,LEN($C60)-FIND("/",$C60))))))</f>
        <v>0</v>
      </c>
      <c r="BG60" s="42">
        <f t="shared" ref="BG60:BG64" si="112">_xlfn.NUMBERVALUE(IF(AB60=0,0,IF(AB60=1,LEFT($C60,FIND("/",$C60)-1),SUM(LEFT($C60,FIND("/",$C60)-1),RIGHT($C60,LEN($C60)-FIND("/",$C60))))))</f>
        <v>0</v>
      </c>
      <c r="BH60" s="42">
        <f t="shared" ref="BH60:BH64" si="113">_xlfn.NUMBERVALUE(IF(AC60=0,0,IF(AC60=1,LEFT($C60,FIND("/",$C60)-1),SUM(LEFT($C60,FIND("/",$C60)-1),RIGHT($C60,LEN($C60)-FIND("/",$C60))))))</f>
        <v>0</v>
      </c>
      <c r="BI60" s="42">
        <f t="shared" ref="BI60:BI64" si="114">_xlfn.NUMBERVALUE(IF(AD60=0,0,IF(AD60=1,LEFT($C60,FIND("/",$C60)-1),SUM(LEFT($C60,FIND("/",$C60)-1),RIGHT($C60,LEN($C60)-FIND("/",$C60))))))</f>
        <v>0</v>
      </c>
    </row>
    <row r="61" spans="1:61" x14ac:dyDescent="0.25">
      <c r="A61" s="477"/>
      <c r="B61" s="21" t="s">
        <v>115</v>
      </c>
      <c r="C61" s="1" t="e">
        <f t="shared" si="91"/>
        <v>#N/A</v>
      </c>
      <c r="D61" s="1" t="str">
        <f>IF(IF((COUNTIF(Professional_Skill_Options,'Skill Workbook'!F61)&gt;0),INDEX(Professional_Skill_Choices,MATCH(F61,Professional_Skill_Options,0)),FALSE),"X","")</f>
        <v/>
      </c>
      <c r="E61" s="1" t="str">
        <f>IF(IF((COUNTIF(Professional_Skill_Options,'Skill Workbook'!F61)&gt;0),INDEX(Professional_Skill_Knacks,MATCH(F61,Professional_Skill_Options,0)),FALSE),"X","")</f>
        <v/>
      </c>
      <c r="F61" t="s">
        <v>302</v>
      </c>
      <c r="G61" s="194" t="s">
        <v>417</v>
      </c>
      <c r="H61" s="195"/>
      <c r="I61" s="1" t="s">
        <v>119</v>
      </c>
      <c r="J61" s="1">
        <f>'Base Details'!J112</f>
        <v>0</v>
      </c>
      <c r="AE61" s="1">
        <f>SUM(K61:INDEX(K61:AD61,Level))+J61-IF(H61="",0,1)</f>
        <v>0</v>
      </c>
      <c r="AF61" s="26">
        <f t="shared" si="92"/>
        <v>-25</v>
      </c>
      <c r="AG61" s="26" t="e" cm="1">
        <f t="array" aca="1" ref="AG61" ca="1">IF(I61="NA",0,INDIRECT(LEFT(I61,2))+INDIRECT(MID(I61,4,2))+INDIRECT(RIGHT(I61,2)))</f>
        <v>#N/A</v>
      </c>
      <c r="AH61" s="26">
        <f t="shared" si="93"/>
        <v>0</v>
      </c>
      <c r="AI61" s="26">
        <f t="shared" si="94"/>
        <v>0</v>
      </c>
      <c r="AJ61" s="26"/>
      <c r="AK61" s="26" t="e">
        <f t="shared" ca="1" si="6"/>
        <v>#N/A</v>
      </c>
      <c r="AL61" s="32" t="e">
        <f t="shared" ca="1" si="29"/>
        <v>#N/A</v>
      </c>
      <c r="AP61" s="42">
        <f t="shared" si="95"/>
        <v>0</v>
      </c>
      <c r="AQ61" s="42">
        <f t="shared" si="96"/>
        <v>0</v>
      </c>
      <c r="AR61" s="42">
        <f t="shared" si="97"/>
        <v>0</v>
      </c>
      <c r="AS61" s="42">
        <f t="shared" si="98"/>
        <v>0</v>
      </c>
      <c r="AT61" s="42">
        <f t="shared" si="99"/>
        <v>0</v>
      </c>
      <c r="AU61" s="42">
        <f t="shared" si="100"/>
        <v>0</v>
      </c>
      <c r="AV61" s="42">
        <f t="shared" si="101"/>
        <v>0</v>
      </c>
      <c r="AW61" s="42">
        <f t="shared" si="102"/>
        <v>0</v>
      </c>
      <c r="AX61" s="42">
        <f t="shared" si="103"/>
        <v>0</v>
      </c>
      <c r="AY61" s="42">
        <f t="shared" si="104"/>
        <v>0</v>
      </c>
      <c r="AZ61" s="42">
        <f t="shared" si="105"/>
        <v>0</v>
      </c>
      <c r="BA61" s="42">
        <f t="shared" si="106"/>
        <v>0</v>
      </c>
      <c r="BB61" s="42">
        <f t="shared" si="107"/>
        <v>0</v>
      </c>
      <c r="BC61" s="42">
        <f t="shared" si="108"/>
        <v>0</v>
      </c>
      <c r="BD61" s="42">
        <f t="shared" si="109"/>
        <v>0</v>
      </c>
      <c r="BE61" s="42">
        <f t="shared" si="110"/>
        <v>0</v>
      </c>
      <c r="BF61" s="42">
        <f t="shared" si="111"/>
        <v>0</v>
      </c>
      <c r="BG61" s="42">
        <f t="shared" si="112"/>
        <v>0</v>
      </c>
      <c r="BH61" s="42">
        <f t="shared" si="113"/>
        <v>0</v>
      </c>
      <c r="BI61" s="42">
        <f t="shared" si="114"/>
        <v>0</v>
      </c>
    </row>
    <row r="62" spans="1:61" x14ac:dyDescent="0.25">
      <c r="A62" s="477"/>
      <c r="B62" s="21" t="s">
        <v>115</v>
      </c>
      <c r="C62" s="1" t="e">
        <f t="shared" si="91"/>
        <v>#N/A</v>
      </c>
      <c r="D62" s="1" t="str">
        <f>IF(IF((COUNTIF(Professional_Skill_Options,'Skill Workbook'!F62)&gt;0),INDEX(Professional_Skill_Choices,MATCH(F62,Professional_Skill_Options,0)),FALSE),"X","")</f>
        <v/>
      </c>
      <c r="E62" s="1" t="str">
        <f>IF(IF((COUNTIF(Professional_Skill_Options,'Skill Workbook'!F62)&gt;0),INDEX(Professional_Skill_Knacks,MATCH(F62,Professional_Skill_Options,0)),FALSE),"X","")</f>
        <v/>
      </c>
      <c r="F62" t="s">
        <v>302</v>
      </c>
      <c r="G62" s="194" t="s">
        <v>418</v>
      </c>
      <c r="H62" s="195"/>
      <c r="I62" s="1" t="s">
        <v>119</v>
      </c>
      <c r="J62" s="1">
        <f>'Base Details'!J113</f>
        <v>0</v>
      </c>
      <c r="AE62" s="1">
        <f>SUM(K62:INDEX(K62:AD62,Level))+J62-IF(H62="",0,1)</f>
        <v>0</v>
      </c>
      <c r="AF62" s="26">
        <f t="shared" si="92"/>
        <v>-25</v>
      </c>
      <c r="AG62" s="26" t="e" cm="1">
        <f t="array" aca="1" ref="AG62" ca="1">IF(I62="NA",0,INDIRECT(LEFT(I62,2))+INDIRECT(MID(I62,4,2))+INDIRECT(RIGHT(I62,2)))</f>
        <v>#N/A</v>
      </c>
      <c r="AH62" s="26">
        <f t="shared" si="93"/>
        <v>0</v>
      </c>
      <c r="AI62" s="26">
        <f t="shared" si="94"/>
        <v>0</v>
      </c>
      <c r="AJ62" s="26"/>
      <c r="AK62" s="26" t="e">
        <f t="shared" ca="1" si="6"/>
        <v>#N/A</v>
      </c>
      <c r="AL62" s="32" t="e">
        <f t="shared" ca="1" si="29"/>
        <v>#N/A</v>
      </c>
      <c r="AP62" s="42">
        <f t="shared" si="95"/>
        <v>0</v>
      </c>
      <c r="AQ62" s="42">
        <f t="shared" si="96"/>
        <v>0</v>
      </c>
      <c r="AR62" s="42">
        <f t="shared" si="97"/>
        <v>0</v>
      </c>
      <c r="AS62" s="42">
        <f t="shared" si="98"/>
        <v>0</v>
      </c>
      <c r="AT62" s="42">
        <f t="shared" si="99"/>
        <v>0</v>
      </c>
      <c r="AU62" s="42">
        <f t="shared" si="100"/>
        <v>0</v>
      </c>
      <c r="AV62" s="42">
        <f t="shared" si="101"/>
        <v>0</v>
      </c>
      <c r="AW62" s="42">
        <f t="shared" si="102"/>
        <v>0</v>
      </c>
      <c r="AX62" s="42">
        <f t="shared" si="103"/>
        <v>0</v>
      </c>
      <c r="AY62" s="42">
        <f t="shared" si="104"/>
        <v>0</v>
      </c>
      <c r="AZ62" s="42">
        <f t="shared" si="105"/>
        <v>0</v>
      </c>
      <c r="BA62" s="42">
        <f t="shared" si="106"/>
        <v>0</v>
      </c>
      <c r="BB62" s="42">
        <f t="shared" si="107"/>
        <v>0</v>
      </c>
      <c r="BC62" s="42">
        <f t="shared" si="108"/>
        <v>0</v>
      </c>
      <c r="BD62" s="42">
        <f t="shared" si="109"/>
        <v>0</v>
      </c>
      <c r="BE62" s="42">
        <f t="shared" si="110"/>
        <v>0</v>
      </c>
      <c r="BF62" s="42">
        <f t="shared" si="111"/>
        <v>0</v>
      </c>
      <c r="BG62" s="42">
        <f t="shared" si="112"/>
        <v>0</v>
      </c>
      <c r="BH62" s="42">
        <f t="shared" si="113"/>
        <v>0</v>
      </c>
      <c r="BI62" s="42">
        <f t="shared" si="114"/>
        <v>0</v>
      </c>
    </row>
    <row r="63" spans="1:61" x14ac:dyDescent="0.25">
      <c r="A63" s="477"/>
      <c r="B63" s="21" t="s">
        <v>115</v>
      </c>
      <c r="C63" s="1" t="e">
        <f t="shared" si="91"/>
        <v>#N/A</v>
      </c>
      <c r="D63" s="1" t="str">
        <f>IF(IF((COUNTIF(Professional_Skill_Options,'Skill Workbook'!F63)&gt;0),INDEX(Professional_Skill_Choices,MATCH(F63,Professional_Skill_Options,0)),FALSE),"X","")</f>
        <v/>
      </c>
      <c r="E63" s="1" t="str">
        <f>IF(IF((COUNTIF(Professional_Skill_Options,'Skill Workbook'!F63)&gt;0),INDEX(Professional_Skill_Knacks,MATCH(F63,Professional_Skill_Options,0)),FALSE),"X","")</f>
        <v/>
      </c>
      <c r="F63" t="s">
        <v>302</v>
      </c>
      <c r="G63" s="194" t="s">
        <v>419</v>
      </c>
      <c r="H63" s="195"/>
      <c r="I63" s="1" t="s">
        <v>119</v>
      </c>
      <c r="J63" s="1">
        <f>'Base Details'!J114</f>
        <v>0</v>
      </c>
      <c r="AE63" s="1">
        <f>SUM(K63:INDEX(K63:AD63,Level))+J63-IF(H63="",0,1)</f>
        <v>0</v>
      </c>
      <c r="AF63" s="26">
        <f t="shared" si="92"/>
        <v>-25</v>
      </c>
      <c r="AG63" s="26" t="e" cm="1">
        <f t="array" aca="1" ref="AG63" ca="1">IF(I63="NA",0,INDIRECT(LEFT(I63,2))+INDIRECT(MID(I63,4,2))+INDIRECT(RIGHT(I63,2)))</f>
        <v>#N/A</v>
      </c>
      <c r="AH63" s="26">
        <f t="shared" si="93"/>
        <v>0</v>
      </c>
      <c r="AI63" s="26">
        <f t="shared" si="94"/>
        <v>0</v>
      </c>
      <c r="AJ63" s="26"/>
      <c r="AK63" s="26" t="e">
        <f t="shared" ca="1" si="6"/>
        <v>#N/A</v>
      </c>
      <c r="AL63" s="32" t="e">
        <f t="shared" ca="1" si="29"/>
        <v>#N/A</v>
      </c>
      <c r="AP63" s="42">
        <f t="shared" si="95"/>
        <v>0</v>
      </c>
      <c r="AQ63" s="42">
        <f t="shared" si="96"/>
        <v>0</v>
      </c>
      <c r="AR63" s="42">
        <f t="shared" si="97"/>
        <v>0</v>
      </c>
      <c r="AS63" s="42">
        <f t="shared" si="98"/>
        <v>0</v>
      </c>
      <c r="AT63" s="42">
        <f t="shared" si="99"/>
        <v>0</v>
      </c>
      <c r="AU63" s="42">
        <f t="shared" si="100"/>
        <v>0</v>
      </c>
      <c r="AV63" s="42">
        <f t="shared" si="101"/>
        <v>0</v>
      </c>
      <c r="AW63" s="42">
        <f t="shared" si="102"/>
        <v>0</v>
      </c>
      <c r="AX63" s="42">
        <f t="shared" si="103"/>
        <v>0</v>
      </c>
      <c r="AY63" s="42">
        <f t="shared" si="104"/>
        <v>0</v>
      </c>
      <c r="AZ63" s="42">
        <f t="shared" si="105"/>
        <v>0</v>
      </c>
      <c r="BA63" s="42">
        <f t="shared" si="106"/>
        <v>0</v>
      </c>
      <c r="BB63" s="42">
        <f t="shared" si="107"/>
        <v>0</v>
      </c>
      <c r="BC63" s="42">
        <f t="shared" si="108"/>
        <v>0</v>
      </c>
      <c r="BD63" s="42">
        <f t="shared" si="109"/>
        <v>0</v>
      </c>
      <c r="BE63" s="42">
        <f t="shared" si="110"/>
        <v>0</v>
      </c>
      <c r="BF63" s="42">
        <f t="shared" si="111"/>
        <v>0</v>
      </c>
      <c r="BG63" s="42">
        <f t="shared" si="112"/>
        <v>0</v>
      </c>
      <c r="BH63" s="42">
        <f t="shared" si="113"/>
        <v>0</v>
      </c>
      <c r="BI63" s="42">
        <f t="shared" si="114"/>
        <v>0</v>
      </c>
    </row>
    <row r="64" spans="1:61" x14ac:dyDescent="0.25">
      <c r="A64" s="477"/>
      <c r="B64" s="21" t="s">
        <v>115</v>
      </c>
      <c r="C64" s="1" t="e">
        <f t="shared" si="91"/>
        <v>#N/A</v>
      </c>
      <c r="D64" s="1" t="str">
        <f>IF(IF((COUNTIF(Professional_Skill_Options,'Skill Workbook'!F64)&gt;0),INDEX(Professional_Skill_Choices,MATCH(F64,Professional_Skill_Options,0)),FALSE),"X","")</f>
        <v/>
      </c>
      <c r="E64" s="1" t="str">
        <f>IF(IF((COUNTIF(Professional_Skill_Options,'Skill Workbook'!F64)&gt;0),INDEX(Professional_Skill_Knacks,MATCH(F64,Professional_Skill_Options,0)),FALSE),"X","")</f>
        <v/>
      </c>
      <c r="F64" t="s">
        <v>302</v>
      </c>
      <c r="G64" s="194" t="s">
        <v>420</v>
      </c>
      <c r="H64" s="195"/>
      <c r="I64" s="1" t="s">
        <v>119</v>
      </c>
      <c r="J64" s="1">
        <f>'Base Details'!J115</f>
        <v>0</v>
      </c>
      <c r="AE64" s="1">
        <f>SUM(K64:INDEX(K64:AD64,Level))+J64-IF(H64="",0,1)</f>
        <v>0</v>
      </c>
      <c r="AF64" s="26">
        <f t="shared" si="92"/>
        <v>-25</v>
      </c>
      <c r="AG64" s="26" t="e" cm="1">
        <f t="array" aca="1" ref="AG64" ca="1">IF(I64="NA",0,INDIRECT(LEFT(I64,2))+INDIRECT(MID(I64,4,2))+INDIRECT(RIGHT(I64,2)))</f>
        <v>#N/A</v>
      </c>
      <c r="AH64" s="26">
        <f t="shared" si="93"/>
        <v>0</v>
      </c>
      <c r="AI64" s="26">
        <f t="shared" si="94"/>
        <v>0</v>
      </c>
      <c r="AJ64" s="26"/>
      <c r="AK64" s="26" t="e">
        <f t="shared" ca="1" si="6"/>
        <v>#N/A</v>
      </c>
      <c r="AL64" s="32" t="e">
        <f t="shared" ca="1" si="29"/>
        <v>#N/A</v>
      </c>
      <c r="AP64" s="42">
        <f t="shared" si="95"/>
        <v>0</v>
      </c>
      <c r="AQ64" s="42">
        <f t="shared" si="96"/>
        <v>0</v>
      </c>
      <c r="AR64" s="42">
        <f t="shared" si="97"/>
        <v>0</v>
      </c>
      <c r="AS64" s="42">
        <f t="shared" si="98"/>
        <v>0</v>
      </c>
      <c r="AT64" s="42">
        <f t="shared" si="99"/>
        <v>0</v>
      </c>
      <c r="AU64" s="42">
        <f t="shared" si="100"/>
        <v>0</v>
      </c>
      <c r="AV64" s="42">
        <f t="shared" si="101"/>
        <v>0</v>
      </c>
      <c r="AW64" s="42">
        <f t="shared" si="102"/>
        <v>0</v>
      </c>
      <c r="AX64" s="42">
        <f t="shared" si="103"/>
        <v>0</v>
      </c>
      <c r="AY64" s="42">
        <f t="shared" si="104"/>
        <v>0</v>
      </c>
      <c r="AZ64" s="42">
        <f t="shared" si="105"/>
        <v>0</v>
      </c>
      <c r="BA64" s="42">
        <f t="shared" si="106"/>
        <v>0</v>
      </c>
      <c r="BB64" s="42">
        <f t="shared" si="107"/>
        <v>0</v>
      </c>
      <c r="BC64" s="42">
        <f t="shared" si="108"/>
        <v>0</v>
      </c>
      <c r="BD64" s="42">
        <f t="shared" si="109"/>
        <v>0</v>
      </c>
      <c r="BE64" s="42">
        <f t="shared" si="110"/>
        <v>0</v>
      </c>
      <c r="BF64" s="42">
        <f t="shared" si="111"/>
        <v>0</v>
      </c>
      <c r="BG64" s="42">
        <f t="shared" si="112"/>
        <v>0</v>
      </c>
      <c r="BH64" s="42">
        <f t="shared" si="113"/>
        <v>0</v>
      </c>
      <c r="BI64" s="42">
        <f t="shared" si="114"/>
        <v>0</v>
      </c>
    </row>
    <row r="65" spans="1:61" x14ac:dyDescent="0.25">
      <c r="A65" s="477"/>
      <c r="B65" s="21" t="s">
        <v>115</v>
      </c>
      <c r="C65" s="1" t="e">
        <f t="shared" si="91"/>
        <v>#N/A</v>
      </c>
      <c r="D65" s="1" t="str">
        <f>IF(IF((COUNTIF(Professional_Skill_Options,'Skill Workbook'!F65)&gt;0),INDEX(Professional_Skill_Choices,MATCH(F65,Professional_Skill_Options,0)),FALSE),"X","")</f>
        <v/>
      </c>
      <c r="E65" s="1" t="str">
        <f>IF(IF((COUNTIF(Professional_Skill_Options,'Skill Workbook'!F65)&gt;0),INDEX(Professional_Skill_Knacks,MATCH(F65,Professional_Skill_Options,0)),FALSE),"X","")</f>
        <v/>
      </c>
      <c r="F65" t="s">
        <v>302</v>
      </c>
      <c r="G65" s="194" t="s">
        <v>421</v>
      </c>
      <c r="H65" s="195"/>
      <c r="I65" s="1" t="s">
        <v>119</v>
      </c>
      <c r="J65" s="1">
        <f>'Base Details'!J116</f>
        <v>0</v>
      </c>
      <c r="AE65" s="1">
        <f>SUM(K65:INDEX(K65:AD65,Level))+J65-IF(H65="",0,1)</f>
        <v>0</v>
      </c>
      <c r="AF65" s="26">
        <f t="shared" si="5"/>
        <v>-25</v>
      </c>
      <c r="AG65" s="26" t="e" cm="1">
        <f t="array" aca="1" ref="AG65" ca="1">IF(I65="NA",0,INDIRECT(LEFT(I65,2))+INDIRECT(MID(I65,4,2))+INDIRECT(RIGHT(I65,2)))</f>
        <v>#N/A</v>
      </c>
      <c r="AH65" s="26">
        <f t="shared" si="27"/>
        <v>0</v>
      </c>
      <c r="AI65" s="26">
        <f t="shared" si="28"/>
        <v>0</v>
      </c>
      <c r="AJ65" s="26"/>
      <c r="AK65" s="26" t="e">
        <f t="shared" ca="1" si="6"/>
        <v>#N/A</v>
      </c>
      <c r="AL65" s="32" t="e">
        <f t="shared" ca="1" si="29"/>
        <v>#N/A</v>
      </c>
      <c r="AP65" s="42">
        <f t="shared" si="7"/>
        <v>0</v>
      </c>
      <c r="AQ65" s="42">
        <f t="shared" si="8"/>
        <v>0</v>
      </c>
      <c r="AR65" s="42">
        <f t="shared" si="9"/>
        <v>0</v>
      </c>
      <c r="AS65" s="42">
        <f t="shared" si="10"/>
        <v>0</v>
      </c>
      <c r="AT65" s="42">
        <f t="shared" si="11"/>
        <v>0</v>
      </c>
      <c r="AU65" s="42">
        <f t="shared" si="12"/>
        <v>0</v>
      </c>
      <c r="AV65" s="42">
        <f t="shared" si="13"/>
        <v>0</v>
      </c>
      <c r="AW65" s="42">
        <f t="shared" si="14"/>
        <v>0</v>
      </c>
      <c r="AX65" s="42">
        <f t="shared" si="15"/>
        <v>0</v>
      </c>
      <c r="AY65" s="42">
        <f t="shared" si="16"/>
        <v>0</v>
      </c>
      <c r="AZ65" s="42">
        <f t="shared" si="17"/>
        <v>0</v>
      </c>
      <c r="BA65" s="42">
        <f t="shared" si="18"/>
        <v>0</v>
      </c>
      <c r="BB65" s="42">
        <f t="shared" si="19"/>
        <v>0</v>
      </c>
      <c r="BC65" s="42">
        <f t="shared" si="20"/>
        <v>0</v>
      </c>
      <c r="BD65" s="42">
        <f t="shared" si="21"/>
        <v>0</v>
      </c>
      <c r="BE65" s="42">
        <f t="shared" si="22"/>
        <v>0</v>
      </c>
      <c r="BF65" s="42">
        <f t="shared" si="23"/>
        <v>0</v>
      </c>
      <c r="BG65" s="42">
        <f t="shared" si="24"/>
        <v>0</v>
      </c>
      <c r="BH65" s="42">
        <f t="shared" si="25"/>
        <v>0</v>
      </c>
      <c r="BI65" s="42">
        <f t="shared" si="26"/>
        <v>0</v>
      </c>
    </row>
    <row r="66" spans="1:61" x14ac:dyDescent="0.25">
      <c r="A66" s="477"/>
      <c r="B66" s="21" t="s">
        <v>115</v>
      </c>
      <c r="C66" s="1" t="e">
        <f t="shared" si="91"/>
        <v>#N/A</v>
      </c>
      <c r="D66" s="1" t="str">
        <f>IF(IF((COUNTIF(Professional_Skill_Options,'Skill Workbook'!F66)&gt;0),INDEX(Professional_Skill_Choices,MATCH(F66,Professional_Skill_Options,0)),FALSE),"X","")</f>
        <v/>
      </c>
      <c r="E66" s="1" t="str">
        <f>IF(IF((COUNTIF(Professional_Skill_Options,'Skill Workbook'!F66)&gt;0),INDEX(Professional_Skill_Knacks,MATCH(F66,Professional_Skill_Options,0)),FALSE),"X","")</f>
        <v/>
      </c>
      <c r="F66" t="s">
        <v>302</v>
      </c>
      <c r="G66" s="194" t="s">
        <v>422</v>
      </c>
      <c r="H66" s="195"/>
      <c r="I66" s="1" t="s">
        <v>119</v>
      </c>
      <c r="J66" s="1">
        <f>'Base Details'!J117</f>
        <v>0</v>
      </c>
      <c r="AE66" s="1">
        <f>SUM(K66:INDEX(K66:AD66,Level))+J66-IF(H66="",0,1)</f>
        <v>0</v>
      </c>
      <c r="AF66" s="26">
        <f t="shared" si="5"/>
        <v>-25</v>
      </c>
      <c r="AG66" s="26" t="e" cm="1">
        <f t="array" aca="1" ref="AG66" ca="1">IF(I66="NA",0,INDIRECT(LEFT(I66,2))+INDIRECT(MID(I66,4,2))+INDIRECT(RIGHT(I66,2)))</f>
        <v>#N/A</v>
      </c>
      <c r="AH66" s="26">
        <f t="shared" si="27"/>
        <v>0</v>
      </c>
      <c r="AI66" s="26">
        <f t="shared" si="28"/>
        <v>0</v>
      </c>
      <c r="AJ66" s="26"/>
      <c r="AK66" s="26" t="e">
        <f t="shared" ca="1" si="6"/>
        <v>#N/A</v>
      </c>
      <c r="AL66" s="32" t="e">
        <f t="shared" ca="1" si="29"/>
        <v>#N/A</v>
      </c>
      <c r="AP66" s="42">
        <f t="shared" si="7"/>
        <v>0</v>
      </c>
      <c r="AQ66" s="42">
        <f t="shared" si="8"/>
        <v>0</v>
      </c>
      <c r="AR66" s="42">
        <f t="shared" si="9"/>
        <v>0</v>
      </c>
      <c r="AS66" s="42">
        <f t="shared" si="10"/>
        <v>0</v>
      </c>
      <c r="AT66" s="42">
        <f t="shared" si="11"/>
        <v>0</v>
      </c>
      <c r="AU66" s="42">
        <f t="shared" si="12"/>
        <v>0</v>
      </c>
      <c r="AV66" s="42">
        <f t="shared" si="13"/>
        <v>0</v>
      </c>
      <c r="AW66" s="42">
        <f t="shared" si="14"/>
        <v>0</v>
      </c>
      <c r="AX66" s="42">
        <f t="shared" si="15"/>
        <v>0</v>
      </c>
      <c r="AY66" s="42">
        <f t="shared" si="16"/>
        <v>0</v>
      </c>
      <c r="AZ66" s="42">
        <f t="shared" si="17"/>
        <v>0</v>
      </c>
      <c r="BA66" s="42">
        <f t="shared" si="18"/>
        <v>0</v>
      </c>
      <c r="BB66" s="42">
        <f t="shared" si="19"/>
        <v>0</v>
      </c>
      <c r="BC66" s="42">
        <f t="shared" si="20"/>
        <v>0</v>
      </c>
      <c r="BD66" s="42">
        <f t="shared" si="21"/>
        <v>0</v>
      </c>
      <c r="BE66" s="42">
        <f t="shared" si="22"/>
        <v>0</v>
      </c>
      <c r="BF66" s="42">
        <f t="shared" si="23"/>
        <v>0</v>
      </c>
      <c r="BG66" s="42">
        <f t="shared" si="24"/>
        <v>0</v>
      </c>
      <c r="BH66" s="42">
        <f t="shared" si="25"/>
        <v>0</v>
      </c>
      <c r="BI66" s="42">
        <f t="shared" si="26"/>
        <v>0</v>
      </c>
    </row>
    <row r="67" spans="1:61" x14ac:dyDescent="0.25">
      <c r="A67" s="477"/>
      <c r="B67" s="21" t="s">
        <v>115</v>
      </c>
      <c r="C67" s="1" t="e">
        <f>Cost_Unarmed</f>
        <v>#N/A</v>
      </c>
      <c r="D67" s="1" t="str">
        <f>IF(IF((COUNTIF(Professional_Skill_Options,'Skill Workbook'!F67)&gt;0),INDEX(Professional_Skill_Choices,MATCH(F67,Professional_Skill_Options,0)),FALSE),"X","")</f>
        <v/>
      </c>
      <c r="E67" s="1" t="str">
        <f>IF(IF((COUNTIF(Professional_Skill_Options,'Skill Workbook'!F67)&gt;0),INDEX(Professional_Skill_Knacks,MATCH(F67,Professional_Skill_Options,0)),FALSE),"X","")</f>
        <v/>
      </c>
      <c r="F67" t="s">
        <v>117</v>
      </c>
      <c r="G67" s="194" t="s">
        <v>428</v>
      </c>
      <c r="H67" s="195"/>
      <c r="I67" s="1" t="s">
        <v>119</v>
      </c>
      <c r="J67" s="1">
        <f>'Base Details'!J107</f>
        <v>0</v>
      </c>
      <c r="AE67" s="1">
        <f>SUM(K67:INDEX(K67:AD67,Level))+J67-IF(H67="",0,1)</f>
        <v>0</v>
      </c>
      <c r="AF67" s="26">
        <f t="shared" si="5"/>
        <v>-25</v>
      </c>
      <c r="AG67" s="26" t="e" cm="1">
        <f t="array" aca="1" ref="AG67" ca="1">IF(I67="NA",0,INDIRECT(LEFT(I67,2))+INDIRECT(MID(I67,4,2))+INDIRECT(RIGHT(I67,2)))</f>
        <v>#N/A</v>
      </c>
      <c r="AH67" s="26">
        <f t="shared" si="27"/>
        <v>0</v>
      </c>
      <c r="AI67" s="26">
        <f t="shared" si="28"/>
        <v>0</v>
      </c>
      <c r="AJ67" s="26"/>
      <c r="AK67" s="26" t="e">
        <f t="shared" ca="1" si="6"/>
        <v>#N/A</v>
      </c>
      <c r="AL67" s="32" t="e">
        <f t="shared" ca="1" si="29"/>
        <v>#N/A</v>
      </c>
      <c r="AP67" s="42">
        <f t="shared" si="7"/>
        <v>0</v>
      </c>
      <c r="AQ67" s="42">
        <f t="shared" si="8"/>
        <v>0</v>
      </c>
      <c r="AR67" s="42">
        <f t="shared" si="9"/>
        <v>0</v>
      </c>
      <c r="AS67" s="42">
        <f t="shared" si="10"/>
        <v>0</v>
      </c>
      <c r="AT67" s="42">
        <f t="shared" si="11"/>
        <v>0</v>
      </c>
      <c r="AU67" s="42">
        <f t="shared" si="12"/>
        <v>0</v>
      </c>
      <c r="AV67" s="42">
        <f t="shared" si="13"/>
        <v>0</v>
      </c>
      <c r="AW67" s="42">
        <f t="shared" si="14"/>
        <v>0</v>
      </c>
      <c r="AX67" s="42">
        <f t="shared" si="15"/>
        <v>0</v>
      </c>
      <c r="AY67" s="42">
        <f t="shared" si="16"/>
        <v>0</v>
      </c>
      <c r="AZ67" s="42">
        <f t="shared" si="17"/>
        <v>0</v>
      </c>
      <c r="BA67" s="42">
        <f t="shared" si="18"/>
        <v>0</v>
      </c>
      <c r="BB67" s="42">
        <f t="shared" si="19"/>
        <v>0</v>
      </c>
      <c r="BC67" s="42">
        <f t="shared" si="20"/>
        <v>0</v>
      </c>
      <c r="BD67" s="42">
        <f t="shared" si="21"/>
        <v>0</v>
      </c>
      <c r="BE67" s="42">
        <f t="shared" si="22"/>
        <v>0</v>
      </c>
      <c r="BF67" s="42">
        <f t="shared" si="23"/>
        <v>0</v>
      </c>
      <c r="BG67" s="42">
        <f t="shared" si="24"/>
        <v>0</v>
      </c>
      <c r="BH67" s="42">
        <f t="shared" si="25"/>
        <v>0</v>
      </c>
      <c r="BI67" s="42">
        <f t="shared" si="26"/>
        <v>0</v>
      </c>
    </row>
    <row r="68" spans="1:61" x14ac:dyDescent="0.25">
      <c r="A68" s="477"/>
      <c r="B68" s="21" t="s">
        <v>115</v>
      </c>
      <c r="C68" s="1" t="e">
        <f>Cost_Unarmed</f>
        <v>#N/A</v>
      </c>
      <c r="D68" s="1" t="str">
        <f>IF(IF((COUNTIF(Professional_Skill_Options,'Skill Workbook'!F68)&gt;0),INDEX(Professional_Skill_Choices,MATCH(F68,Professional_Skill_Options,0)),FALSE),"X","")</f>
        <v/>
      </c>
      <c r="E68" s="1" t="str">
        <f>IF(IF((COUNTIF(Professional_Skill_Options,'Skill Workbook'!F68)&gt;0),INDEX(Professional_Skill_Knacks,MATCH(F68,Professional_Skill_Options,0)),FALSE),"X","")</f>
        <v/>
      </c>
      <c r="F68" t="s">
        <v>117</v>
      </c>
      <c r="G68" s="194" t="s">
        <v>429</v>
      </c>
      <c r="H68" s="195"/>
      <c r="I68" s="1" t="s">
        <v>120</v>
      </c>
      <c r="J68" s="1">
        <f>'Base Details'!J108</f>
        <v>0</v>
      </c>
      <c r="AE68" s="1">
        <f>SUM(K68:INDEX(K68:AD68,Level))+J68-IF(H68="",0,1)</f>
        <v>0</v>
      </c>
      <c r="AF68" s="26">
        <f t="shared" si="5"/>
        <v>-25</v>
      </c>
      <c r="AG68" s="26" t="e" cm="1">
        <f t="array" aca="1" ref="AG68" ca="1">IF(I68="NA",0,INDIRECT(LEFT(I68,2))+INDIRECT(MID(I68,4,2))+INDIRECT(RIGHT(I68,2)))</f>
        <v>#N/A</v>
      </c>
      <c r="AH68" s="26">
        <f t="shared" si="27"/>
        <v>0</v>
      </c>
      <c r="AI68" s="26">
        <f t="shared" si="28"/>
        <v>0</v>
      </c>
      <c r="AJ68" s="26"/>
      <c r="AK68" s="26" t="e">
        <f t="shared" ca="1" si="6"/>
        <v>#N/A</v>
      </c>
      <c r="AL68" s="32" t="e">
        <f t="shared" ca="1" si="29"/>
        <v>#N/A</v>
      </c>
      <c r="AP68" s="42">
        <f t="shared" si="7"/>
        <v>0</v>
      </c>
      <c r="AQ68" s="42">
        <f t="shared" si="8"/>
        <v>0</v>
      </c>
      <c r="AR68" s="42">
        <f t="shared" si="9"/>
        <v>0</v>
      </c>
      <c r="AS68" s="42">
        <f t="shared" si="10"/>
        <v>0</v>
      </c>
      <c r="AT68" s="42">
        <f t="shared" si="11"/>
        <v>0</v>
      </c>
      <c r="AU68" s="42">
        <f t="shared" si="12"/>
        <v>0</v>
      </c>
      <c r="AV68" s="42">
        <f t="shared" si="13"/>
        <v>0</v>
      </c>
      <c r="AW68" s="42">
        <f t="shared" si="14"/>
        <v>0</v>
      </c>
      <c r="AX68" s="42">
        <f t="shared" si="15"/>
        <v>0</v>
      </c>
      <c r="AY68" s="42">
        <f t="shared" si="16"/>
        <v>0</v>
      </c>
      <c r="AZ68" s="42">
        <f t="shared" si="17"/>
        <v>0</v>
      </c>
      <c r="BA68" s="42">
        <f t="shared" si="18"/>
        <v>0</v>
      </c>
      <c r="BB68" s="42">
        <f t="shared" si="19"/>
        <v>0</v>
      </c>
      <c r="BC68" s="42">
        <f t="shared" si="20"/>
        <v>0</v>
      </c>
      <c r="BD68" s="42">
        <f t="shared" si="21"/>
        <v>0</v>
      </c>
      <c r="BE68" s="42">
        <f t="shared" si="22"/>
        <v>0</v>
      </c>
      <c r="BF68" s="42">
        <f t="shared" si="23"/>
        <v>0</v>
      </c>
      <c r="BG68" s="42">
        <f t="shared" si="24"/>
        <v>0</v>
      </c>
      <c r="BH68" s="42">
        <f t="shared" si="25"/>
        <v>0</v>
      </c>
      <c r="BI68" s="42">
        <f t="shared" si="26"/>
        <v>0</v>
      </c>
    </row>
    <row r="69" spans="1:61" x14ac:dyDescent="0.25">
      <c r="A69" s="477"/>
      <c r="B69" s="21" t="s">
        <v>115</v>
      </c>
      <c r="C69" s="1" t="e">
        <f>Cost_Unarmed</f>
        <v>#N/A</v>
      </c>
      <c r="D69" s="1" t="str">
        <f>IF(IF((COUNTIF(Professional_Skill_Options,'Skill Workbook'!F69)&gt;0),INDEX(Professional_Skill_Choices,MATCH(F69,Professional_Skill_Options,0)),FALSE),"X","")</f>
        <v/>
      </c>
      <c r="E69" s="1" t="str">
        <f>IF(IF((COUNTIF(Professional_Skill_Options,'Skill Workbook'!F69)&gt;0),INDEX(Professional_Skill_Knacks,MATCH(F69,Professional_Skill_Options,0)),FALSE),"X","")</f>
        <v/>
      </c>
      <c r="F69" t="s">
        <v>117</v>
      </c>
      <c r="G69" s="194" t="s">
        <v>407</v>
      </c>
      <c r="H69" s="195"/>
      <c r="I69" s="1" t="s">
        <v>120</v>
      </c>
      <c r="J69" s="1">
        <f>'Base Details'!J109</f>
        <v>0</v>
      </c>
      <c r="AE69" s="1">
        <f>SUM(K69:INDEX(K69:AD69,Level))+J69-IF(H69="",0,1)</f>
        <v>0</v>
      </c>
      <c r="AF69" s="26">
        <f t="shared" si="5"/>
        <v>-25</v>
      </c>
      <c r="AG69" s="26" t="e" cm="1">
        <f t="array" aca="1" ref="AG69" ca="1">IF(I69="NA",0,INDIRECT(LEFT(I69,2))+INDIRECT(MID(I69,4,2))+INDIRECT(RIGHT(I69,2)))</f>
        <v>#N/A</v>
      </c>
      <c r="AH69" s="26">
        <f t="shared" si="27"/>
        <v>0</v>
      </c>
      <c r="AI69" s="26">
        <f t="shared" si="28"/>
        <v>0</v>
      </c>
      <c r="AJ69" s="26"/>
      <c r="AK69" s="26" t="e">
        <f t="shared" ca="1" si="6"/>
        <v>#N/A</v>
      </c>
      <c r="AL69" s="32" t="e">
        <f t="shared" ca="1" si="29"/>
        <v>#N/A</v>
      </c>
      <c r="AP69" s="42">
        <f t="shared" si="7"/>
        <v>0</v>
      </c>
      <c r="AQ69" s="42">
        <f t="shared" si="8"/>
        <v>0</v>
      </c>
      <c r="AR69" s="42">
        <f t="shared" si="9"/>
        <v>0</v>
      </c>
      <c r="AS69" s="42">
        <f t="shared" si="10"/>
        <v>0</v>
      </c>
      <c r="AT69" s="42">
        <f t="shared" si="11"/>
        <v>0</v>
      </c>
      <c r="AU69" s="42">
        <f t="shared" si="12"/>
        <v>0</v>
      </c>
      <c r="AV69" s="42">
        <f t="shared" si="13"/>
        <v>0</v>
      </c>
      <c r="AW69" s="42">
        <f t="shared" si="14"/>
        <v>0</v>
      </c>
      <c r="AX69" s="42">
        <f t="shared" si="15"/>
        <v>0</v>
      </c>
      <c r="AY69" s="42">
        <f t="shared" si="16"/>
        <v>0</v>
      </c>
      <c r="AZ69" s="42">
        <f t="shared" si="17"/>
        <v>0</v>
      </c>
      <c r="BA69" s="42">
        <f t="shared" si="18"/>
        <v>0</v>
      </c>
      <c r="BB69" s="42">
        <f t="shared" si="19"/>
        <v>0</v>
      </c>
      <c r="BC69" s="42">
        <f t="shared" si="20"/>
        <v>0</v>
      </c>
      <c r="BD69" s="42">
        <f t="shared" si="21"/>
        <v>0</v>
      </c>
      <c r="BE69" s="42">
        <f t="shared" si="22"/>
        <v>0</v>
      </c>
      <c r="BF69" s="42">
        <f t="shared" si="23"/>
        <v>0</v>
      </c>
      <c r="BG69" s="42">
        <f t="shared" si="24"/>
        <v>0</v>
      </c>
      <c r="BH69" s="42">
        <f t="shared" si="25"/>
        <v>0</v>
      </c>
      <c r="BI69" s="42">
        <f t="shared" si="26"/>
        <v>0</v>
      </c>
    </row>
    <row r="70" spans="1:61" x14ac:dyDescent="0.25">
      <c r="A70" s="477"/>
      <c r="B70" s="21" t="s">
        <v>115</v>
      </c>
      <c r="C70" s="1" t="e">
        <f>Cost_Ranged</f>
        <v>#N/A</v>
      </c>
      <c r="D70" s="1" t="str">
        <f>IF(IF((COUNTIF(Professional_Skill_Options,'Skill Workbook'!F70)&gt;0),INDEX(Professional_Skill_Choices,MATCH(F70,Professional_Skill_Options,0)),FALSE),"X","")</f>
        <v/>
      </c>
      <c r="E70" s="1" t="str">
        <f>IF(IF((COUNTIF(Professional_Skill_Options,'Skill Workbook'!F70)&gt;0),INDEX(Professional_Skill_Knacks,MATCH(F70,Professional_Skill_Options,0)),FALSE),"X","")</f>
        <v/>
      </c>
      <c r="F70" t="s">
        <v>303</v>
      </c>
      <c r="G70" s="194" t="s">
        <v>423</v>
      </c>
      <c r="H70" s="195"/>
      <c r="I70" s="1" t="s">
        <v>120</v>
      </c>
      <c r="J70" s="1">
        <f>'Base Details'!J118</f>
        <v>0</v>
      </c>
      <c r="AE70" s="1">
        <f>SUM(K70:INDEX(K70:AD70,Level))+J70-IF(H70="",0,1)</f>
        <v>0</v>
      </c>
      <c r="AF70" s="26">
        <f t="shared" si="5"/>
        <v>-25</v>
      </c>
      <c r="AG70" s="26" t="e" cm="1">
        <f t="array" aca="1" ref="AG70" ca="1">IF(I70="NA",0,INDIRECT(LEFT(I70,2))+INDIRECT(MID(I70,4,2))+INDIRECT(RIGHT(I70,2)))</f>
        <v>#N/A</v>
      </c>
      <c r="AH70" s="26">
        <f t="shared" si="27"/>
        <v>0</v>
      </c>
      <c r="AI70" s="26">
        <f t="shared" si="28"/>
        <v>0</v>
      </c>
      <c r="AJ70" s="26">
        <f>Main!$L$36</f>
        <v>0</v>
      </c>
      <c r="AK70" s="26" t="e">
        <f t="shared" ca="1" si="6"/>
        <v>#N/A</v>
      </c>
      <c r="AL70" s="32" t="e">
        <f t="shared" ca="1" si="29"/>
        <v>#N/A</v>
      </c>
      <c r="AP70" s="42">
        <f t="shared" si="7"/>
        <v>0</v>
      </c>
      <c r="AQ70" s="42">
        <f t="shared" si="8"/>
        <v>0</v>
      </c>
      <c r="AR70" s="42">
        <f t="shared" si="9"/>
        <v>0</v>
      </c>
      <c r="AS70" s="42">
        <f t="shared" si="10"/>
        <v>0</v>
      </c>
      <c r="AT70" s="42">
        <f t="shared" si="11"/>
        <v>0</v>
      </c>
      <c r="AU70" s="42">
        <f t="shared" si="12"/>
        <v>0</v>
      </c>
      <c r="AV70" s="42">
        <f t="shared" si="13"/>
        <v>0</v>
      </c>
      <c r="AW70" s="42">
        <f t="shared" si="14"/>
        <v>0</v>
      </c>
      <c r="AX70" s="42">
        <f t="shared" si="15"/>
        <v>0</v>
      </c>
      <c r="AY70" s="42">
        <f t="shared" si="16"/>
        <v>0</v>
      </c>
      <c r="AZ70" s="42">
        <f t="shared" si="17"/>
        <v>0</v>
      </c>
      <c r="BA70" s="42">
        <f t="shared" si="18"/>
        <v>0</v>
      </c>
      <c r="BB70" s="42">
        <f t="shared" si="19"/>
        <v>0</v>
      </c>
      <c r="BC70" s="42">
        <f t="shared" si="20"/>
        <v>0</v>
      </c>
      <c r="BD70" s="42">
        <f t="shared" si="21"/>
        <v>0</v>
      </c>
      <c r="BE70" s="42">
        <f t="shared" si="22"/>
        <v>0</v>
      </c>
      <c r="BF70" s="42">
        <f t="shared" si="23"/>
        <v>0</v>
      </c>
      <c r="BG70" s="42">
        <f t="shared" si="24"/>
        <v>0</v>
      </c>
      <c r="BH70" s="42">
        <f t="shared" si="25"/>
        <v>0</v>
      </c>
      <c r="BI70" s="42">
        <f t="shared" si="26"/>
        <v>0</v>
      </c>
    </row>
    <row r="71" spans="1:61" x14ac:dyDescent="0.25">
      <c r="A71" s="477"/>
      <c r="B71" s="21" t="s">
        <v>115</v>
      </c>
      <c r="C71" s="1" t="e">
        <f>Cost_Ranged</f>
        <v>#N/A</v>
      </c>
      <c r="D71" s="1" t="str">
        <f>IF(IF((COUNTIF(Professional_Skill_Options,'Skill Workbook'!F71)&gt;0),INDEX(Professional_Skill_Choices,MATCH(F71,Professional_Skill_Options,0)),FALSE),"X","")</f>
        <v/>
      </c>
      <c r="E71" s="1" t="str">
        <f>IF(IF((COUNTIF(Professional_Skill_Options,'Skill Workbook'!F71)&gt;0),INDEX(Professional_Skill_Knacks,MATCH(F71,Professional_Skill_Options,0)),FALSE),"X","")</f>
        <v/>
      </c>
      <c r="F71" t="s">
        <v>303</v>
      </c>
      <c r="G71" s="194" t="s">
        <v>424</v>
      </c>
      <c r="H71" s="195"/>
      <c r="I71" s="1" t="s">
        <v>120</v>
      </c>
      <c r="J71" s="1">
        <f>'Base Details'!J119</f>
        <v>0</v>
      </c>
      <c r="AE71" s="1">
        <f>SUM(K71:INDEX(K71:AD71,Level))+J71-IF(H71="",0,1)</f>
        <v>0</v>
      </c>
      <c r="AF71" s="26">
        <f t="shared" ref="AF71:AF72" si="115">IF(AE71&gt;30,100+AE71,VLOOKUP(AE71,Rank_Bonus,2,FALSE))</f>
        <v>-25</v>
      </c>
      <c r="AG71" s="26" t="e" cm="1">
        <f t="array" aca="1" ref="AG71" ca="1">IF(I71="NA",0,INDIRECT(LEFT(I71,2))+INDIRECT(MID(I71,4,2))+INDIRECT(RIGHT(I71,2)))</f>
        <v>#N/A</v>
      </c>
      <c r="AH71" s="26">
        <f t="shared" ref="AH71:AH72" si="116">IF(D71="X",MIN(30,AE71),0)</f>
        <v>0</v>
      </c>
      <c r="AI71" s="26">
        <f t="shared" ref="AI71:AI72" si="117">IF(E71="X",5,0)</f>
        <v>0</v>
      </c>
      <c r="AJ71" s="26">
        <f>Main!$L$36</f>
        <v>0</v>
      </c>
      <c r="AK71" s="26" t="e">
        <f t="shared" ca="1" si="6"/>
        <v>#N/A</v>
      </c>
      <c r="AL71" s="32" t="e">
        <f t="shared" ca="1" si="29"/>
        <v>#N/A</v>
      </c>
      <c r="AP71" s="42">
        <f t="shared" ref="AP71:AP72" si="118">_xlfn.NUMBERVALUE(IF(K71=0,0,IF(K71=1,LEFT($C71,FIND("/",$C71)-1),SUM(LEFT($C71,FIND("/",$C71)-1),RIGHT($C71,LEN($C71)-FIND("/",$C71))))))</f>
        <v>0</v>
      </c>
      <c r="AQ71" s="42">
        <f t="shared" ref="AQ71:AQ72" si="119">_xlfn.NUMBERVALUE(IF(L71=0,0,IF(L71=1,LEFT($C71,FIND("/",$C71)-1),SUM(LEFT($C71,FIND("/",$C71)-1),RIGHT($C71,LEN($C71)-FIND("/",$C71))))))</f>
        <v>0</v>
      </c>
      <c r="AR71" s="42">
        <f t="shared" ref="AR71:AR72" si="120">_xlfn.NUMBERVALUE(IF(M71=0,0,IF(M71=1,LEFT($C71,FIND("/",$C71)-1),SUM(LEFT($C71,FIND("/",$C71)-1),RIGHT($C71,LEN($C71)-FIND("/",$C71))))))</f>
        <v>0</v>
      </c>
      <c r="AS71" s="42">
        <f t="shared" ref="AS71:AS72" si="121">_xlfn.NUMBERVALUE(IF(N71=0,0,IF(N71=1,LEFT($C71,FIND("/",$C71)-1),SUM(LEFT($C71,FIND("/",$C71)-1),RIGHT($C71,LEN($C71)-FIND("/",$C71))))))</f>
        <v>0</v>
      </c>
      <c r="AT71" s="42">
        <f t="shared" ref="AT71:AT72" si="122">_xlfn.NUMBERVALUE(IF(O71=0,0,IF(O71=1,LEFT($C71,FIND("/",$C71)-1),SUM(LEFT($C71,FIND("/",$C71)-1),RIGHT($C71,LEN($C71)-FIND("/",$C71))))))</f>
        <v>0</v>
      </c>
      <c r="AU71" s="42">
        <f t="shared" ref="AU71:AU72" si="123">_xlfn.NUMBERVALUE(IF(P71=0,0,IF(P71=1,LEFT($C71,FIND("/",$C71)-1),SUM(LEFT($C71,FIND("/",$C71)-1),RIGHT($C71,LEN($C71)-FIND("/",$C71))))))</f>
        <v>0</v>
      </c>
      <c r="AV71" s="42">
        <f t="shared" ref="AV71:AV72" si="124">_xlfn.NUMBERVALUE(IF(Q71=0,0,IF(Q71=1,LEFT($C71,FIND("/",$C71)-1),SUM(LEFT($C71,FIND("/",$C71)-1),RIGHT($C71,LEN($C71)-FIND("/",$C71))))))</f>
        <v>0</v>
      </c>
      <c r="AW71" s="42">
        <f t="shared" ref="AW71:AW72" si="125">_xlfn.NUMBERVALUE(IF(R71=0,0,IF(R71=1,LEFT($C71,FIND("/",$C71)-1),SUM(LEFT($C71,FIND("/",$C71)-1),RIGHT($C71,LEN($C71)-FIND("/",$C71))))))</f>
        <v>0</v>
      </c>
      <c r="AX71" s="42">
        <f t="shared" ref="AX71:AX72" si="126">_xlfn.NUMBERVALUE(IF(S71=0,0,IF(S71=1,LEFT($C71,FIND("/",$C71)-1),SUM(LEFT($C71,FIND("/",$C71)-1),RIGHT($C71,LEN($C71)-FIND("/",$C71))))))</f>
        <v>0</v>
      </c>
      <c r="AY71" s="42">
        <f t="shared" ref="AY71:AY72" si="127">_xlfn.NUMBERVALUE(IF(T71=0,0,IF(T71=1,LEFT($C71,FIND("/",$C71)-1),SUM(LEFT($C71,FIND("/",$C71)-1),RIGHT($C71,LEN($C71)-FIND("/",$C71))))))</f>
        <v>0</v>
      </c>
      <c r="AZ71" s="42">
        <f t="shared" ref="AZ71:AZ72" si="128">_xlfn.NUMBERVALUE(IF(U71=0,0,IF(U71=1,LEFT($C71,FIND("/",$C71)-1),SUM(LEFT($C71,FIND("/",$C71)-1),RIGHT($C71,LEN($C71)-FIND("/",$C71))))))</f>
        <v>0</v>
      </c>
      <c r="BA71" s="42">
        <f t="shared" ref="BA71:BA72" si="129">_xlfn.NUMBERVALUE(IF(V71=0,0,IF(V71=1,LEFT($C71,FIND("/",$C71)-1),SUM(LEFT($C71,FIND("/",$C71)-1),RIGHT($C71,LEN($C71)-FIND("/",$C71))))))</f>
        <v>0</v>
      </c>
      <c r="BB71" s="42">
        <f t="shared" ref="BB71:BB72" si="130">_xlfn.NUMBERVALUE(IF(W71=0,0,IF(W71=1,LEFT($C71,FIND("/",$C71)-1),SUM(LEFT($C71,FIND("/",$C71)-1),RIGHT($C71,LEN($C71)-FIND("/",$C71))))))</f>
        <v>0</v>
      </c>
      <c r="BC71" s="42">
        <f t="shared" ref="BC71:BC72" si="131">_xlfn.NUMBERVALUE(IF(X71=0,0,IF(X71=1,LEFT($C71,FIND("/",$C71)-1),SUM(LEFT($C71,FIND("/",$C71)-1),RIGHT($C71,LEN($C71)-FIND("/",$C71))))))</f>
        <v>0</v>
      </c>
      <c r="BD71" s="42">
        <f t="shared" ref="BD71:BD72" si="132">_xlfn.NUMBERVALUE(IF(Y71=0,0,IF(Y71=1,LEFT($C71,FIND("/",$C71)-1),SUM(LEFT($C71,FIND("/",$C71)-1),RIGHT($C71,LEN($C71)-FIND("/",$C71))))))</f>
        <v>0</v>
      </c>
      <c r="BE71" s="42">
        <f t="shared" ref="BE71:BE72" si="133">_xlfn.NUMBERVALUE(IF(Z71=0,0,IF(Z71=1,LEFT($C71,FIND("/",$C71)-1),SUM(LEFT($C71,FIND("/",$C71)-1),RIGHT($C71,LEN($C71)-FIND("/",$C71))))))</f>
        <v>0</v>
      </c>
      <c r="BF71" s="42">
        <f t="shared" ref="BF71:BF72" si="134">_xlfn.NUMBERVALUE(IF(AA71=0,0,IF(AA71=1,LEFT($C71,FIND("/",$C71)-1),SUM(LEFT($C71,FIND("/",$C71)-1),RIGHT($C71,LEN($C71)-FIND("/",$C71))))))</f>
        <v>0</v>
      </c>
      <c r="BG71" s="42">
        <f t="shared" ref="BG71:BG72" si="135">_xlfn.NUMBERVALUE(IF(AB71=0,0,IF(AB71=1,LEFT($C71,FIND("/",$C71)-1),SUM(LEFT($C71,FIND("/",$C71)-1),RIGHT($C71,LEN($C71)-FIND("/",$C71))))))</f>
        <v>0</v>
      </c>
      <c r="BH71" s="42">
        <f t="shared" ref="BH71:BH72" si="136">_xlfn.NUMBERVALUE(IF(AC71=0,0,IF(AC71=1,LEFT($C71,FIND("/",$C71)-1),SUM(LEFT($C71,FIND("/",$C71)-1),RIGHT($C71,LEN($C71)-FIND("/",$C71))))))</f>
        <v>0</v>
      </c>
      <c r="BI71" s="42">
        <f t="shared" ref="BI71:BI72" si="137">_xlfn.NUMBERVALUE(IF(AD71=0,0,IF(AD71=1,LEFT($C71,FIND("/",$C71)-1),SUM(LEFT($C71,FIND("/",$C71)-1),RIGHT($C71,LEN($C71)-FIND("/",$C71))))))</f>
        <v>0</v>
      </c>
    </row>
    <row r="72" spans="1:61" x14ac:dyDescent="0.25">
      <c r="A72" s="477"/>
      <c r="B72" s="21" t="s">
        <v>115</v>
      </c>
      <c r="C72" s="1" t="e">
        <f>Cost_Ranged</f>
        <v>#N/A</v>
      </c>
      <c r="D72" s="1" t="str">
        <f>IF(IF((COUNTIF(Professional_Skill_Options,'Skill Workbook'!F72)&gt;0),INDEX(Professional_Skill_Choices,MATCH(F72,Professional_Skill_Options,0)),FALSE),"X","")</f>
        <v/>
      </c>
      <c r="E72" s="1" t="str">
        <f>IF(IF((COUNTIF(Professional_Skill_Options,'Skill Workbook'!F72)&gt;0),INDEX(Professional_Skill_Knacks,MATCH(F72,Professional_Skill_Options,0)),FALSE),"X","")</f>
        <v/>
      </c>
      <c r="F72" t="s">
        <v>303</v>
      </c>
      <c r="G72" s="194" t="s">
        <v>425</v>
      </c>
      <c r="H72" s="195"/>
      <c r="I72" s="1" t="s">
        <v>120</v>
      </c>
      <c r="J72" s="1">
        <f>'Base Details'!J120</f>
        <v>0</v>
      </c>
      <c r="AE72" s="1">
        <f>SUM(K72:INDEX(K72:AD72,Level))+J72-IF(H72="",0,1)</f>
        <v>0</v>
      </c>
      <c r="AF72" s="26">
        <f t="shared" si="115"/>
        <v>-25</v>
      </c>
      <c r="AG72" s="26" t="e" cm="1">
        <f t="array" aca="1" ref="AG72" ca="1">IF(I72="NA",0,INDIRECT(LEFT(I72,2))+INDIRECT(MID(I72,4,2))+INDIRECT(RIGHT(I72,2)))</f>
        <v>#N/A</v>
      </c>
      <c r="AH72" s="26">
        <f t="shared" si="116"/>
        <v>0</v>
      </c>
      <c r="AI72" s="26">
        <f t="shared" si="117"/>
        <v>0</v>
      </c>
      <c r="AJ72" s="26">
        <f>Main!$L$36</f>
        <v>0</v>
      </c>
      <c r="AK72" s="26" t="e">
        <f t="shared" ca="1" si="6"/>
        <v>#N/A</v>
      </c>
      <c r="AL72" s="32" t="e">
        <f t="shared" ca="1" si="29"/>
        <v>#N/A</v>
      </c>
      <c r="AP72" s="42">
        <f t="shared" si="118"/>
        <v>0</v>
      </c>
      <c r="AQ72" s="42">
        <f t="shared" si="119"/>
        <v>0</v>
      </c>
      <c r="AR72" s="42">
        <f t="shared" si="120"/>
        <v>0</v>
      </c>
      <c r="AS72" s="42">
        <f t="shared" si="121"/>
        <v>0</v>
      </c>
      <c r="AT72" s="42">
        <f t="shared" si="122"/>
        <v>0</v>
      </c>
      <c r="AU72" s="42">
        <f t="shared" si="123"/>
        <v>0</v>
      </c>
      <c r="AV72" s="42">
        <f t="shared" si="124"/>
        <v>0</v>
      </c>
      <c r="AW72" s="42">
        <f t="shared" si="125"/>
        <v>0</v>
      </c>
      <c r="AX72" s="42">
        <f t="shared" si="126"/>
        <v>0</v>
      </c>
      <c r="AY72" s="42">
        <f t="shared" si="127"/>
        <v>0</v>
      </c>
      <c r="AZ72" s="42">
        <f t="shared" si="128"/>
        <v>0</v>
      </c>
      <c r="BA72" s="42">
        <f t="shared" si="129"/>
        <v>0</v>
      </c>
      <c r="BB72" s="42">
        <f t="shared" si="130"/>
        <v>0</v>
      </c>
      <c r="BC72" s="42">
        <f t="shared" si="131"/>
        <v>0</v>
      </c>
      <c r="BD72" s="42">
        <f t="shared" si="132"/>
        <v>0</v>
      </c>
      <c r="BE72" s="42">
        <f t="shared" si="133"/>
        <v>0</v>
      </c>
      <c r="BF72" s="42">
        <f t="shared" si="134"/>
        <v>0</v>
      </c>
      <c r="BG72" s="42">
        <f t="shared" si="135"/>
        <v>0</v>
      </c>
      <c r="BH72" s="42">
        <f t="shared" si="136"/>
        <v>0</v>
      </c>
      <c r="BI72" s="42">
        <f t="shared" si="137"/>
        <v>0</v>
      </c>
    </row>
    <row r="73" spans="1:61" x14ac:dyDescent="0.25">
      <c r="A73" s="477"/>
      <c r="B73" s="21" t="s">
        <v>115</v>
      </c>
      <c r="C73" s="1" t="e">
        <f>Cost_Ranged</f>
        <v>#N/A</v>
      </c>
      <c r="D73" s="1" t="str">
        <f>IF(IF((COUNTIF(Professional_Skill_Options,'Skill Workbook'!F73)&gt;0),INDEX(Professional_Skill_Choices,MATCH(F73,Professional_Skill_Options,0)),FALSE),"X","")</f>
        <v/>
      </c>
      <c r="E73" s="1" t="str">
        <f>IF(IF((COUNTIF(Professional_Skill_Options,'Skill Workbook'!F73)&gt;0),INDEX(Professional_Skill_Knacks,MATCH(F73,Professional_Skill_Options,0)),FALSE),"X","")</f>
        <v/>
      </c>
      <c r="F73" t="s">
        <v>303</v>
      </c>
      <c r="G73" s="194" t="s">
        <v>426</v>
      </c>
      <c r="H73" s="195"/>
      <c r="I73" s="1" t="s">
        <v>120</v>
      </c>
      <c r="J73" s="1">
        <f>'Base Details'!J121</f>
        <v>0</v>
      </c>
      <c r="AE73" s="1">
        <f>SUM(K73:INDEX(K73:AD73,Level))+J73-IF(H73="",0,1)</f>
        <v>0</v>
      </c>
      <c r="AF73" s="26">
        <f t="shared" si="5"/>
        <v>-25</v>
      </c>
      <c r="AG73" s="26" t="e" cm="1">
        <f t="array" aca="1" ref="AG73" ca="1">IF(I73="NA",0,INDIRECT(LEFT(I73,2))+INDIRECT(MID(I73,4,2))+INDIRECT(RIGHT(I73,2)))</f>
        <v>#N/A</v>
      </c>
      <c r="AH73" s="26">
        <f t="shared" si="27"/>
        <v>0</v>
      </c>
      <c r="AI73" s="26">
        <f t="shared" si="28"/>
        <v>0</v>
      </c>
      <c r="AJ73" s="26">
        <f>Main!$L$36</f>
        <v>0</v>
      </c>
      <c r="AK73" s="26" t="e">
        <f t="shared" ca="1" si="6"/>
        <v>#N/A</v>
      </c>
      <c r="AL73" s="32" t="e">
        <f t="shared" ca="1" si="29"/>
        <v>#N/A</v>
      </c>
      <c r="AP73" s="42">
        <f t="shared" si="7"/>
        <v>0</v>
      </c>
      <c r="AQ73" s="42">
        <f t="shared" si="8"/>
        <v>0</v>
      </c>
      <c r="AR73" s="42">
        <f t="shared" si="9"/>
        <v>0</v>
      </c>
      <c r="AS73" s="42">
        <f t="shared" si="10"/>
        <v>0</v>
      </c>
      <c r="AT73" s="42">
        <f t="shared" si="11"/>
        <v>0</v>
      </c>
      <c r="AU73" s="42">
        <f t="shared" si="12"/>
        <v>0</v>
      </c>
      <c r="AV73" s="42">
        <f t="shared" si="13"/>
        <v>0</v>
      </c>
      <c r="AW73" s="42">
        <f t="shared" si="14"/>
        <v>0</v>
      </c>
      <c r="AX73" s="42">
        <f t="shared" si="15"/>
        <v>0</v>
      </c>
      <c r="AY73" s="42">
        <f t="shared" si="16"/>
        <v>0</v>
      </c>
      <c r="AZ73" s="42">
        <f t="shared" si="17"/>
        <v>0</v>
      </c>
      <c r="BA73" s="42">
        <f t="shared" si="18"/>
        <v>0</v>
      </c>
      <c r="BB73" s="42">
        <f t="shared" si="19"/>
        <v>0</v>
      </c>
      <c r="BC73" s="42">
        <f t="shared" si="20"/>
        <v>0</v>
      </c>
      <c r="BD73" s="42">
        <f t="shared" si="21"/>
        <v>0</v>
      </c>
      <c r="BE73" s="42">
        <f t="shared" si="22"/>
        <v>0</v>
      </c>
      <c r="BF73" s="42">
        <f t="shared" si="23"/>
        <v>0</v>
      </c>
      <c r="BG73" s="42">
        <f t="shared" si="24"/>
        <v>0</v>
      </c>
      <c r="BH73" s="42">
        <f t="shared" si="25"/>
        <v>0</v>
      </c>
      <c r="BI73" s="42">
        <f t="shared" si="26"/>
        <v>0</v>
      </c>
    </row>
    <row r="74" spans="1:61" x14ac:dyDescent="0.25">
      <c r="A74" s="477"/>
      <c r="B74" s="21" t="s">
        <v>115</v>
      </c>
      <c r="C74" s="1" t="e">
        <f>Cost_Ranged</f>
        <v>#N/A</v>
      </c>
      <c r="D74" s="1" t="str">
        <f>IF(IF((COUNTIF(Professional_Skill_Options,'Skill Workbook'!F74)&gt;0),INDEX(Professional_Skill_Choices,MATCH(F74,Professional_Skill_Options,0)),FALSE),"X","")</f>
        <v/>
      </c>
      <c r="E74" s="1" t="str">
        <f>IF(IF((COUNTIF(Professional_Skill_Options,'Skill Workbook'!F74)&gt;0),INDEX(Professional_Skill_Knacks,MATCH(F74,Professional_Skill_Options,0)),FALSE),"X","")</f>
        <v/>
      </c>
      <c r="F74" t="s">
        <v>303</v>
      </c>
      <c r="G74" s="194" t="s">
        <v>422</v>
      </c>
      <c r="H74" s="195"/>
      <c r="I74" s="1" t="s">
        <v>120</v>
      </c>
      <c r="J74" s="1">
        <f>'Base Details'!J122</f>
        <v>0</v>
      </c>
      <c r="AE74" s="1">
        <f>SUM(K74:INDEX(K74:AD74,Level))+J74-IF(H74="",0,1)</f>
        <v>0</v>
      </c>
      <c r="AF74" s="26">
        <f t="shared" si="5"/>
        <v>-25</v>
      </c>
      <c r="AG74" s="26" t="e" cm="1">
        <f t="array" aca="1" ref="AG74" ca="1">IF(I74="NA",0,INDIRECT(LEFT(I74,2))+INDIRECT(MID(I74,4,2))+INDIRECT(RIGHT(I74,2)))</f>
        <v>#N/A</v>
      </c>
      <c r="AH74" s="26">
        <f t="shared" si="27"/>
        <v>0</v>
      </c>
      <c r="AI74" s="26">
        <f t="shared" si="28"/>
        <v>0</v>
      </c>
      <c r="AJ74" s="26">
        <f>Main!$L$36</f>
        <v>0</v>
      </c>
      <c r="AK74" s="26" t="e">
        <f t="shared" ref="AK74:AK137" ca="1" si="138">ROUND(IF(H74="",AL74,IF((ROUNDDOWN(AE74*1.5,0))&gt;30,100+(ROUNDDOWN(AE74*1.5,0)),VLOOKUP((ROUNDDOWN(AE74*1.5,0)),Rank_Bonus,2,FALSE))+SUM(AG74:AJ74)),0)</f>
        <v>#N/A</v>
      </c>
      <c r="AL74" s="32" t="e">
        <f t="shared" ca="1" si="29"/>
        <v>#N/A</v>
      </c>
      <c r="AP74" s="42">
        <f t="shared" si="7"/>
        <v>0</v>
      </c>
      <c r="AQ74" s="42">
        <f t="shared" si="8"/>
        <v>0</v>
      </c>
      <c r="AR74" s="42">
        <f t="shared" si="9"/>
        <v>0</v>
      </c>
      <c r="AS74" s="42">
        <f t="shared" si="10"/>
        <v>0</v>
      </c>
      <c r="AT74" s="42">
        <f t="shared" si="11"/>
        <v>0</v>
      </c>
      <c r="AU74" s="42">
        <f t="shared" si="12"/>
        <v>0</v>
      </c>
      <c r="AV74" s="42">
        <f t="shared" si="13"/>
        <v>0</v>
      </c>
      <c r="AW74" s="42">
        <f t="shared" si="14"/>
        <v>0</v>
      </c>
      <c r="AX74" s="42">
        <f t="shared" si="15"/>
        <v>0</v>
      </c>
      <c r="AY74" s="42">
        <f t="shared" si="16"/>
        <v>0</v>
      </c>
      <c r="AZ74" s="42">
        <f t="shared" si="17"/>
        <v>0</v>
      </c>
      <c r="BA74" s="42">
        <f t="shared" si="18"/>
        <v>0</v>
      </c>
      <c r="BB74" s="42">
        <f t="shared" si="19"/>
        <v>0</v>
      </c>
      <c r="BC74" s="42">
        <f t="shared" si="20"/>
        <v>0</v>
      </c>
      <c r="BD74" s="42">
        <f t="shared" si="21"/>
        <v>0</v>
      </c>
      <c r="BE74" s="42">
        <f t="shared" si="22"/>
        <v>0</v>
      </c>
      <c r="BF74" s="42">
        <f t="shared" si="23"/>
        <v>0</v>
      </c>
      <c r="BG74" s="42">
        <f t="shared" si="24"/>
        <v>0</v>
      </c>
      <c r="BH74" s="42">
        <f t="shared" si="25"/>
        <v>0</v>
      </c>
      <c r="BI74" s="42">
        <f t="shared" si="26"/>
        <v>0</v>
      </c>
    </row>
    <row r="75" spans="1:61" x14ac:dyDescent="0.25">
      <c r="A75" s="477"/>
      <c r="B75" s="21" t="s">
        <v>115</v>
      </c>
      <c r="C75" s="1" t="e">
        <f>Cost_Shield</f>
        <v>#N/A</v>
      </c>
      <c r="D75" s="1" t="str">
        <f>IF(IF((COUNTIF(Professional_Skill_Options,'Skill Workbook'!F75)&gt;0),INDEX(Professional_Skill_Choices,MATCH(F75,Professional_Skill_Options,0)),FALSE),"X","")</f>
        <v/>
      </c>
      <c r="E75" s="1" t="str">
        <f>IF(IF((COUNTIF(Professional_Skill_Options,'Skill Workbook'!F75)&gt;0),INDEX(Professional_Skill_Knacks,MATCH(F75,Professional_Skill_Options,0)),FALSE),"X","")</f>
        <v/>
      </c>
      <c r="F75" t="s">
        <v>53</v>
      </c>
      <c r="G75" s="196"/>
      <c r="H75" s="198"/>
      <c r="I75" s="1" t="s">
        <v>119</v>
      </c>
      <c r="J75" s="46"/>
      <c r="AE75" s="1">
        <f>SUM(K75:INDEX(K75:AD75,Level))+J75-IF(H75="",0,1)</f>
        <v>0</v>
      </c>
      <c r="AF75" s="26">
        <f t="shared" ref="AF75:AF110" si="139">IF(AE75&gt;30,100+AE75,VLOOKUP(AE75,Rank_Bonus,2,FALSE))</f>
        <v>-25</v>
      </c>
      <c r="AG75" s="26" t="e" cm="1">
        <f t="array" aca="1" ref="AG75" ca="1">IF(I75="NA",0,INDIRECT(LEFT(I75,2))+INDIRECT(MID(I75,4,2))+INDIRECT(RIGHT(I75,2)))</f>
        <v>#N/A</v>
      </c>
      <c r="AH75" s="26">
        <f t="shared" si="27"/>
        <v>0</v>
      </c>
      <c r="AI75" s="26">
        <f t="shared" si="28"/>
        <v>0</v>
      </c>
      <c r="AJ75" s="26"/>
      <c r="AK75" s="26" t="e">
        <f t="shared" ca="1" si="138"/>
        <v>#N/A</v>
      </c>
      <c r="AL75" s="32" t="e">
        <f t="shared" ca="1" si="29"/>
        <v>#N/A</v>
      </c>
      <c r="AP75" s="42">
        <f t="shared" ref="AP75:AP110" si="140">_xlfn.NUMBERVALUE(IF(K75=0,0,IF(K75=1,LEFT($C75,FIND("/",$C75)-1),SUM(LEFT($C75,FIND("/",$C75)-1),RIGHT($C75,LEN($C75)-FIND("/",$C75))))))</f>
        <v>0</v>
      </c>
      <c r="AQ75" s="42">
        <f t="shared" ref="AQ75:AQ110" si="141">_xlfn.NUMBERVALUE(IF(L75=0,0,IF(L75=1,LEFT($C75,FIND("/",$C75)-1),SUM(LEFT($C75,FIND("/",$C75)-1),RIGHT($C75,LEN($C75)-FIND("/",$C75))))))</f>
        <v>0</v>
      </c>
      <c r="AR75" s="42">
        <f t="shared" ref="AR75:AR110" si="142">_xlfn.NUMBERVALUE(IF(M75=0,0,IF(M75=1,LEFT($C75,FIND("/",$C75)-1),SUM(LEFT($C75,FIND("/",$C75)-1),RIGHT($C75,LEN($C75)-FIND("/",$C75))))))</f>
        <v>0</v>
      </c>
      <c r="AS75" s="42">
        <f t="shared" ref="AS75:AS110" si="143">_xlfn.NUMBERVALUE(IF(N75=0,0,IF(N75=1,LEFT($C75,FIND("/",$C75)-1),SUM(LEFT($C75,FIND("/",$C75)-1),RIGHT($C75,LEN($C75)-FIND("/",$C75))))))</f>
        <v>0</v>
      </c>
      <c r="AT75" s="42">
        <f t="shared" ref="AT75:AT110" si="144">_xlfn.NUMBERVALUE(IF(O75=0,0,IF(O75=1,LEFT($C75,FIND("/",$C75)-1),SUM(LEFT($C75,FIND("/",$C75)-1),RIGHT($C75,LEN($C75)-FIND("/",$C75))))))</f>
        <v>0</v>
      </c>
      <c r="AU75" s="42">
        <f t="shared" ref="AU75:AU110" si="145">_xlfn.NUMBERVALUE(IF(P75=0,0,IF(P75=1,LEFT($C75,FIND("/",$C75)-1),SUM(LEFT($C75,FIND("/",$C75)-1),RIGHT($C75,LEN($C75)-FIND("/",$C75))))))</f>
        <v>0</v>
      </c>
      <c r="AV75" s="42">
        <f t="shared" ref="AV75:AV110" si="146">_xlfn.NUMBERVALUE(IF(Q75=0,0,IF(Q75=1,LEFT($C75,FIND("/",$C75)-1),SUM(LEFT($C75,FIND("/",$C75)-1),RIGHT($C75,LEN($C75)-FIND("/",$C75))))))</f>
        <v>0</v>
      </c>
      <c r="AW75" s="42">
        <f t="shared" ref="AW75:AW110" si="147">_xlfn.NUMBERVALUE(IF(R75=0,0,IF(R75=1,LEFT($C75,FIND("/",$C75)-1),SUM(LEFT($C75,FIND("/",$C75)-1),RIGHT($C75,LEN($C75)-FIND("/",$C75))))))</f>
        <v>0</v>
      </c>
      <c r="AX75" s="42">
        <f t="shared" ref="AX75:AX110" si="148">_xlfn.NUMBERVALUE(IF(S75=0,0,IF(S75=1,LEFT($C75,FIND("/",$C75)-1),SUM(LEFT($C75,FIND("/",$C75)-1),RIGHT($C75,LEN($C75)-FIND("/",$C75))))))</f>
        <v>0</v>
      </c>
      <c r="AY75" s="42">
        <f t="shared" ref="AY75:AY110" si="149">_xlfn.NUMBERVALUE(IF(T75=0,0,IF(T75=1,LEFT($C75,FIND("/",$C75)-1),SUM(LEFT($C75,FIND("/",$C75)-1),RIGHT($C75,LEN($C75)-FIND("/",$C75))))))</f>
        <v>0</v>
      </c>
      <c r="AZ75" s="42">
        <f t="shared" ref="AZ75:AZ110" si="150">_xlfn.NUMBERVALUE(IF(U75=0,0,IF(U75=1,LEFT($C75,FIND("/",$C75)-1),SUM(LEFT($C75,FIND("/",$C75)-1),RIGHT($C75,LEN($C75)-FIND("/",$C75))))))</f>
        <v>0</v>
      </c>
      <c r="BA75" s="42">
        <f t="shared" ref="BA75:BA110" si="151">_xlfn.NUMBERVALUE(IF(V75=0,0,IF(V75=1,LEFT($C75,FIND("/",$C75)-1),SUM(LEFT($C75,FIND("/",$C75)-1),RIGHT($C75,LEN($C75)-FIND("/",$C75))))))</f>
        <v>0</v>
      </c>
      <c r="BB75" s="42">
        <f t="shared" ref="BB75:BB110" si="152">_xlfn.NUMBERVALUE(IF(W75=0,0,IF(W75=1,LEFT($C75,FIND("/",$C75)-1),SUM(LEFT($C75,FIND("/",$C75)-1),RIGHT($C75,LEN($C75)-FIND("/",$C75))))))</f>
        <v>0</v>
      </c>
      <c r="BC75" s="42">
        <f t="shared" ref="BC75:BC110" si="153">_xlfn.NUMBERVALUE(IF(X75=0,0,IF(X75=1,LEFT($C75,FIND("/",$C75)-1),SUM(LEFT($C75,FIND("/",$C75)-1),RIGHT($C75,LEN($C75)-FIND("/",$C75))))))</f>
        <v>0</v>
      </c>
      <c r="BD75" s="42">
        <f t="shared" ref="BD75:BD110" si="154">_xlfn.NUMBERVALUE(IF(Y75=0,0,IF(Y75=1,LEFT($C75,FIND("/",$C75)-1),SUM(LEFT($C75,FIND("/",$C75)-1),RIGHT($C75,LEN($C75)-FIND("/",$C75))))))</f>
        <v>0</v>
      </c>
      <c r="BE75" s="42">
        <f t="shared" ref="BE75:BE110" si="155">_xlfn.NUMBERVALUE(IF(Z75=0,0,IF(Z75=1,LEFT($C75,FIND("/",$C75)-1),SUM(LEFT($C75,FIND("/",$C75)-1),RIGHT($C75,LEN($C75)-FIND("/",$C75))))))</f>
        <v>0</v>
      </c>
      <c r="BF75" s="42">
        <f t="shared" ref="BF75:BF110" si="156">_xlfn.NUMBERVALUE(IF(AA75=0,0,IF(AA75=1,LEFT($C75,FIND("/",$C75)-1),SUM(LEFT($C75,FIND("/",$C75)-1),RIGHT($C75,LEN($C75)-FIND("/",$C75))))))</f>
        <v>0</v>
      </c>
      <c r="BG75" s="42">
        <f t="shared" ref="BG75:BG110" si="157">_xlfn.NUMBERVALUE(IF(AB75=0,0,IF(AB75=1,LEFT($C75,FIND("/",$C75)-1),SUM(LEFT($C75,FIND("/",$C75)-1),RIGHT($C75,LEN($C75)-FIND("/",$C75))))))</f>
        <v>0</v>
      </c>
      <c r="BH75" s="42">
        <f t="shared" ref="BH75:BH110" si="158">_xlfn.NUMBERVALUE(IF(AC75=0,0,IF(AC75=1,LEFT($C75,FIND("/",$C75)-1),SUM(LEFT($C75,FIND("/",$C75)-1),RIGHT($C75,LEN($C75)-FIND("/",$C75))))))</f>
        <v>0</v>
      </c>
      <c r="BI75" s="42">
        <f t="shared" ref="BI75:BI110" si="159">_xlfn.NUMBERVALUE(IF(AD75=0,0,IF(AD75=1,LEFT($C75,FIND("/",$C75)-1),SUM(LEFT($C75,FIND("/",$C75)-1),RIGHT($C75,LEN($C75)-FIND("/",$C75))))))</f>
        <v>0</v>
      </c>
    </row>
    <row r="76" spans="1:61" x14ac:dyDescent="0.25">
      <c r="A76" s="477"/>
      <c r="B76" s="21" t="s">
        <v>115</v>
      </c>
      <c r="C76" s="1" t="e">
        <f>Cost_Shield</f>
        <v>#N/A</v>
      </c>
      <c r="D76" s="1" t="str">
        <f>IF(IF((COUNTIF(Professional_Skill_Options,'Skill Workbook'!F76)&gt;0),INDEX(Professional_Skill_Choices,MATCH(F76,Professional_Skill_Options,0)),FALSE),"X","")</f>
        <v/>
      </c>
      <c r="E76" s="1" t="str">
        <f>IF(IF((COUNTIF(Professional_Skill_Options,'Skill Workbook'!F76)&gt;0),INDEX(Professional_Skill_Knacks,MATCH(F76,Professional_Skill_Options,0)),FALSE),"X","")</f>
        <v/>
      </c>
      <c r="F76" t="s">
        <v>782</v>
      </c>
      <c r="G76" s="196"/>
      <c r="H76" s="198"/>
      <c r="I76" s="1" t="s">
        <v>119</v>
      </c>
      <c r="J76" s="46"/>
      <c r="AE76" s="1">
        <f>SUM(K76:INDEX(K76:AD76,Level))+J76-IF(H76="",0,1)</f>
        <v>0</v>
      </c>
      <c r="AF76" s="26">
        <f t="shared" ref="AF76" si="160">IF(AE76&gt;30,100+AE76,VLOOKUP(AE76,Rank_Bonus,2,FALSE))</f>
        <v>-25</v>
      </c>
      <c r="AG76" s="26" t="e" cm="1">
        <f t="array" aca="1" ref="AG76" ca="1">IF(I76="NA",0,INDIRECT(LEFT(I76,2))+INDIRECT(MID(I76,4,2))+INDIRECT(RIGHT(I76,2)))</f>
        <v>#N/A</v>
      </c>
      <c r="AH76" s="26">
        <f t="shared" ref="AH76" si="161">IF(D76="X",MIN(30,AE76),0)</f>
        <v>0</v>
      </c>
      <c r="AI76" s="26">
        <f t="shared" ref="AI76" si="162">IF(E76="X",5,0)</f>
        <v>0</v>
      </c>
      <c r="AJ76" s="26"/>
      <c r="AK76" s="26" t="e">
        <f t="shared" ca="1" si="138"/>
        <v>#N/A</v>
      </c>
      <c r="AL76" s="32" t="e">
        <f t="shared" ca="1" si="29"/>
        <v>#N/A</v>
      </c>
      <c r="AP76" s="42">
        <f t="shared" ref="AP76" si="163">_xlfn.NUMBERVALUE(IF(K76=0,0,IF(K76=1,LEFT($C76,FIND("/",$C76)-1),SUM(LEFT($C76,FIND("/",$C76)-1),RIGHT($C76,LEN($C76)-FIND("/",$C76))))))</f>
        <v>0</v>
      </c>
      <c r="AQ76" s="42">
        <f t="shared" ref="AQ76" si="164">_xlfn.NUMBERVALUE(IF(L76=0,0,IF(L76=1,LEFT($C76,FIND("/",$C76)-1),SUM(LEFT($C76,FIND("/",$C76)-1),RIGHT($C76,LEN($C76)-FIND("/",$C76))))))</f>
        <v>0</v>
      </c>
      <c r="AR76" s="42">
        <f t="shared" ref="AR76" si="165">_xlfn.NUMBERVALUE(IF(M76=0,0,IF(M76=1,LEFT($C76,FIND("/",$C76)-1),SUM(LEFT($C76,FIND("/",$C76)-1),RIGHT($C76,LEN($C76)-FIND("/",$C76))))))</f>
        <v>0</v>
      </c>
      <c r="AS76" s="42">
        <f t="shared" ref="AS76" si="166">_xlfn.NUMBERVALUE(IF(N76=0,0,IF(N76=1,LEFT($C76,FIND("/",$C76)-1),SUM(LEFT($C76,FIND("/",$C76)-1),RIGHT($C76,LEN($C76)-FIND("/",$C76))))))</f>
        <v>0</v>
      </c>
      <c r="AT76" s="42">
        <f t="shared" ref="AT76" si="167">_xlfn.NUMBERVALUE(IF(O76=0,0,IF(O76=1,LEFT($C76,FIND("/",$C76)-1),SUM(LEFT($C76,FIND("/",$C76)-1),RIGHT($C76,LEN($C76)-FIND("/",$C76))))))</f>
        <v>0</v>
      </c>
      <c r="AU76" s="42">
        <f t="shared" ref="AU76" si="168">_xlfn.NUMBERVALUE(IF(P76=0,0,IF(P76=1,LEFT($C76,FIND("/",$C76)-1),SUM(LEFT($C76,FIND("/",$C76)-1),RIGHT($C76,LEN($C76)-FIND("/",$C76))))))</f>
        <v>0</v>
      </c>
      <c r="AV76" s="42">
        <f t="shared" ref="AV76" si="169">_xlfn.NUMBERVALUE(IF(Q76=0,0,IF(Q76=1,LEFT($C76,FIND("/",$C76)-1),SUM(LEFT($C76,FIND("/",$C76)-1),RIGHT($C76,LEN($C76)-FIND("/",$C76))))))</f>
        <v>0</v>
      </c>
      <c r="AW76" s="42">
        <f t="shared" ref="AW76" si="170">_xlfn.NUMBERVALUE(IF(R76=0,0,IF(R76=1,LEFT($C76,FIND("/",$C76)-1),SUM(LEFT($C76,FIND("/",$C76)-1),RIGHT($C76,LEN($C76)-FIND("/",$C76))))))</f>
        <v>0</v>
      </c>
      <c r="AX76" s="42">
        <f t="shared" ref="AX76" si="171">_xlfn.NUMBERVALUE(IF(S76=0,0,IF(S76=1,LEFT($C76,FIND("/",$C76)-1),SUM(LEFT($C76,FIND("/",$C76)-1),RIGHT($C76,LEN($C76)-FIND("/",$C76))))))</f>
        <v>0</v>
      </c>
      <c r="AY76" s="42">
        <f t="shared" ref="AY76" si="172">_xlfn.NUMBERVALUE(IF(T76=0,0,IF(T76=1,LEFT($C76,FIND("/",$C76)-1),SUM(LEFT($C76,FIND("/",$C76)-1),RIGHT($C76,LEN($C76)-FIND("/",$C76))))))</f>
        <v>0</v>
      </c>
      <c r="AZ76" s="42">
        <f t="shared" ref="AZ76" si="173">_xlfn.NUMBERVALUE(IF(U76=0,0,IF(U76=1,LEFT($C76,FIND("/",$C76)-1),SUM(LEFT($C76,FIND("/",$C76)-1),RIGHT($C76,LEN($C76)-FIND("/",$C76))))))</f>
        <v>0</v>
      </c>
      <c r="BA76" s="42">
        <f t="shared" ref="BA76" si="174">_xlfn.NUMBERVALUE(IF(V76=0,0,IF(V76=1,LEFT($C76,FIND("/",$C76)-1),SUM(LEFT($C76,FIND("/",$C76)-1),RIGHT($C76,LEN($C76)-FIND("/",$C76))))))</f>
        <v>0</v>
      </c>
      <c r="BB76" s="42">
        <f t="shared" ref="BB76" si="175">_xlfn.NUMBERVALUE(IF(W76=0,0,IF(W76=1,LEFT($C76,FIND("/",$C76)-1),SUM(LEFT($C76,FIND("/",$C76)-1),RIGHT($C76,LEN($C76)-FIND("/",$C76))))))</f>
        <v>0</v>
      </c>
      <c r="BC76" s="42">
        <f t="shared" ref="BC76" si="176">_xlfn.NUMBERVALUE(IF(X76=0,0,IF(X76=1,LEFT($C76,FIND("/",$C76)-1),SUM(LEFT($C76,FIND("/",$C76)-1),RIGHT($C76,LEN($C76)-FIND("/",$C76))))))</f>
        <v>0</v>
      </c>
      <c r="BD76" s="42">
        <f t="shared" ref="BD76" si="177">_xlfn.NUMBERVALUE(IF(Y76=0,0,IF(Y76=1,LEFT($C76,FIND("/",$C76)-1),SUM(LEFT($C76,FIND("/",$C76)-1),RIGHT($C76,LEN($C76)-FIND("/",$C76))))))</f>
        <v>0</v>
      </c>
      <c r="BE76" s="42">
        <f t="shared" ref="BE76" si="178">_xlfn.NUMBERVALUE(IF(Z76=0,0,IF(Z76=1,LEFT($C76,FIND("/",$C76)-1),SUM(LEFT($C76,FIND("/",$C76)-1),RIGHT($C76,LEN($C76)-FIND("/",$C76))))))</f>
        <v>0</v>
      </c>
      <c r="BF76" s="42">
        <f t="shared" ref="BF76" si="179">_xlfn.NUMBERVALUE(IF(AA76=0,0,IF(AA76=1,LEFT($C76,FIND("/",$C76)-1),SUM(LEFT($C76,FIND("/",$C76)-1),RIGHT($C76,LEN($C76)-FIND("/",$C76))))))</f>
        <v>0</v>
      </c>
      <c r="BG76" s="42">
        <f t="shared" ref="BG76" si="180">_xlfn.NUMBERVALUE(IF(AB76=0,0,IF(AB76=1,LEFT($C76,FIND("/",$C76)-1),SUM(LEFT($C76,FIND("/",$C76)-1),RIGHT($C76,LEN($C76)-FIND("/",$C76))))))</f>
        <v>0</v>
      </c>
      <c r="BH76" s="42">
        <f t="shared" ref="BH76" si="181">_xlfn.NUMBERVALUE(IF(AC76=0,0,IF(AC76=1,LEFT($C76,FIND("/",$C76)-1),SUM(LEFT($C76,FIND("/",$C76)-1),RIGHT($C76,LEN($C76)-FIND("/",$C76))))))</f>
        <v>0</v>
      </c>
      <c r="BI76" s="42">
        <f t="shared" ref="BI76" si="182">_xlfn.NUMBERVALUE(IF(AD76=0,0,IF(AD76=1,LEFT($C76,FIND("/",$C76)-1),SUM(LEFT($C76,FIND("/",$C76)-1),RIGHT($C76,LEN($C76)-FIND("/",$C76))))))</f>
        <v>0</v>
      </c>
    </row>
    <row r="77" spans="1:61" x14ac:dyDescent="0.25">
      <c r="A77" s="477"/>
      <c r="B77" s="21" t="s">
        <v>121</v>
      </c>
      <c r="C77" s="1" t="str">
        <f t="shared" ref="C77:C108" si="183">HLOOKUP(B77,Table_Profession_Skills,VLOOKUP(Profession,Table_Profession,2,FALSE)+1,FALSE)</f>
        <v>2/4</v>
      </c>
      <c r="D77" s="1" t="str">
        <f>IF(IF((COUNTIF(Professional_Skill_Options,'Skill Workbook'!F77)&gt;0),INDEX(Professional_Skill_Choices,MATCH(F77,Professional_Skill_Options,0)),FALSE),"X","")</f>
        <v/>
      </c>
      <c r="E77" s="1" t="str">
        <f>IF(IF((COUNTIF(Professional_Skill_Options,'Skill Workbook'!F77)&gt;0),INDEX(Professional_Skill_Knacks,MATCH(F77,Professional_Skill_Options,0)),FALSE),"X","")</f>
        <v/>
      </c>
      <c r="F77" t="s">
        <v>122</v>
      </c>
      <c r="G77" s="196"/>
      <c r="H77" s="198"/>
      <c r="I77" s="1" t="s">
        <v>125</v>
      </c>
      <c r="J77" s="1">
        <f>'Base Details'!J145</f>
        <v>0</v>
      </c>
      <c r="AE77" s="1">
        <f>SUM(K77:INDEX(K77:AD77,Level))+J77-IF(H77="",0,1)</f>
        <v>0</v>
      </c>
      <c r="AF77" s="26">
        <f t="shared" si="139"/>
        <v>-25</v>
      </c>
      <c r="AG77" s="26" t="e" cm="1">
        <f t="array" aca="1" ref="AG77" ca="1">IF(I77="NA",0,INDIRECT(LEFT(I77,2))+INDIRECT(MID(I77,4,2))+INDIRECT(RIGHT(I77,2)))</f>
        <v>#N/A</v>
      </c>
      <c r="AH77" s="26">
        <f t="shared" si="27"/>
        <v>0</v>
      </c>
      <c r="AI77" s="26">
        <f t="shared" si="28"/>
        <v>0</v>
      </c>
      <c r="AJ77" s="26"/>
      <c r="AK77" s="26" t="e">
        <f t="shared" ca="1" si="138"/>
        <v>#N/A</v>
      </c>
      <c r="AL77" s="32" t="e">
        <f t="shared" ca="1" si="29"/>
        <v>#N/A</v>
      </c>
      <c r="AP77" s="42">
        <f t="shared" si="140"/>
        <v>0</v>
      </c>
      <c r="AQ77" s="42">
        <f t="shared" si="141"/>
        <v>0</v>
      </c>
      <c r="AR77" s="42">
        <f t="shared" si="142"/>
        <v>0</v>
      </c>
      <c r="AS77" s="42">
        <f t="shared" si="143"/>
        <v>0</v>
      </c>
      <c r="AT77" s="42">
        <f t="shared" si="144"/>
        <v>0</v>
      </c>
      <c r="AU77" s="42">
        <f t="shared" si="145"/>
        <v>0</v>
      </c>
      <c r="AV77" s="42">
        <f t="shared" si="146"/>
        <v>0</v>
      </c>
      <c r="AW77" s="42">
        <f t="shared" si="147"/>
        <v>0</v>
      </c>
      <c r="AX77" s="42">
        <f t="shared" si="148"/>
        <v>0</v>
      </c>
      <c r="AY77" s="42">
        <f t="shared" si="149"/>
        <v>0</v>
      </c>
      <c r="AZ77" s="42">
        <f t="shared" si="150"/>
        <v>0</v>
      </c>
      <c r="BA77" s="42">
        <f t="shared" si="151"/>
        <v>0</v>
      </c>
      <c r="BB77" s="42">
        <f t="shared" si="152"/>
        <v>0</v>
      </c>
      <c r="BC77" s="42">
        <f t="shared" si="153"/>
        <v>0</v>
      </c>
      <c r="BD77" s="42">
        <f t="shared" si="154"/>
        <v>0</v>
      </c>
      <c r="BE77" s="42">
        <f t="shared" si="155"/>
        <v>0</v>
      </c>
      <c r="BF77" s="42">
        <f t="shared" si="156"/>
        <v>0</v>
      </c>
      <c r="BG77" s="42">
        <f t="shared" si="157"/>
        <v>0</v>
      </c>
      <c r="BH77" s="42">
        <f t="shared" si="158"/>
        <v>0</v>
      </c>
      <c r="BI77" s="42">
        <f t="shared" si="159"/>
        <v>0</v>
      </c>
    </row>
    <row r="78" spans="1:61" x14ac:dyDescent="0.25">
      <c r="A78" s="477"/>
      <c r="B78" s="21" t="s">
        <v>121</v>
      </c>
      <c r="C78" s="1" t="str">
        <f t="shared" si="183"/>
        <v>2/4</v>
      </c>
      <c r="D78" s="1" t="str">
        <f>IF(IF((COUNTIF(Professional_Skill_Options,'Skill Workbook'!F78)&gt;0),INDEX(Professional_Skill_Choices,MATCH(F78,Professional_Skill_Options,0)),FALSE),"X","")</f>
        <v/>
      </c>
      <c r="E78" s="1" t="str">
        <f>IF(IF((COUNTIF(Professional_Skill_Options,'Skill Workbook'!F78)&gt;0),INDEX(Professional_Skill_Knacks,MATCH(F78,Professional_Skill_Options,0)),FALSE),"X","")</f>
        <v/>
      </c>
      <c r="F78" t="s">
        <v>123</v>
      </c>
      <c r="G78" s="196"/>
      <c r="H78" s="198"/>
      <c r="I78" s="1" t="s">
        <v>125</v>
      </c>
      <c r="J78" s="1">
        <f>'Base Details'!J146</f>
        <v>0</v>
      </c>
      <c r="AE78" s="1">
        <f>SUM(K78:INDEX(K78:AD78,Level))+J78-IF(H78="",0,1)</f>
        <v>0</v>
      </c>
      <c r="AF78" s="26">
        <f t="shared" si="139"/>
        <v>-25</v>
      </c>
      <c r="AG78" s="26" t="e" cm="1">
        <f t="array" aca="1" ref="AG78" ca="1">IF(I78="NA",0,INDIRECT(LEFT(I78,2))+INDIRECT(MID(I78,4,2))+INDIRECT(RIGHT(I78,2)))</f>
        <v>#N/A</v>
      </c>
      <c r="AH78" s="26">
        <f t="shared" si="27"/>
        <v>0</v>
      </c>
      <c r="AI78" s="26">
        <f t="shared" si="28"/>
        <v>0</v>
      </c>
      <c r="AJ78" s="26"/>
      <c r="AK78" s="26" t="e">
        <f t="shared" ca="1" si="138"/>
        <v>#N/A</v>
      </c>
      <c r="AL78" s="32" t="e">
        <f t="shared" ca="1" si="29"/>
        <v>#N/A</v>
      </c>
      <c r="AP78" s="42">
        <f t="shared" si="140"/>
        <v>0</v>
      </c>
      <c r="AQ78" s="42">
        <f t="shared" si="141"/>
        <v>0</v>
      </c>
      <c r="AR78" s="42">
        <f t="shared" si="142"/>
        <v>0</v>
      </c>
      <c r="AS78" s="42">
        <f t="shared" si="143"/>
        <v>0</v>
      </c>
      <c r="AT78" s="42">
        <f t="shared" si="144"/>
        <v>0</v>
      </c>
      <c r="AU78" s="42">
        <f t="shared" si="145"/>
        <v>0</v>
      </c>
      <c r="AV78" s="42">
        <f t="shared" si="146"/>
        <v>0</v>
      </c>
      <c r="AW78" s="42">
        <f t="shared" si="147"/>
        <v>0</v>
      </c>
      <c r="AX78" s="42">
        <f t="shared" si="148"/>
        <v>0</v>
      </c>
      <c r="AY78" s="42">
        <f t="shared" si="149"/>
        <v>0</v>
      </c>
      <c r="AZ78" s="42">
        <f t="shared" si="150"/>
        <v>0</v>
      </c>
      <c r="BA78" s="42">
        <f t="shared" si="151"/>
        <v>0</v>
      </c>
      <c r="BB78" s="42">
        <f t="shared" si="152"/>
        <v>0</v>
      </c>
      <c r="BC78" s="42">
        <f t="shared" si="153"/>
        <v>0</v>
      </c>
      <c r="BD78" s="42">
        <f t="shared" si="154"/>
        <v>0</v>
      </c>
      <c r="BE78" s="42">
        <f t="shared" si="155"/>
        <v>0</v>
      </c>
      <c r="BF78" s="42">
        <f t="shared" si="156"/>
        <v>0</v>
      </c>
      <c r="BG78" s="42">
        <f t="shared" si="157"/>
        <v>0</v>
      </c>
      <c r="BH78" s="42">
        <f t="shared" si="158"/>
        <v>0</v>
      </c>
      <c r="BI78" s="42">
        <f t="shared" si="159"/>
        <v>0</v>
      </c>
    </row>
    <row r="79" spans="1:61" x14ac:dyDescent="0.25">
      <c r="A79" s="477"/>
      <c r="B79" s="21" t="s">
        <v>121</v>
      </c>
      <c r="C79" s="1" t="str">
        <f t="shared" si="183"/>
        <v>2/4</v>
      </c>
      <c r="D79" s="1" t="str">
        <f>IF(IF((COUNTIF(Professional_Skill_Options,'Skill Workbook'!F79)&gt;0),INDEX(Professional_Skill_Choices,MATCH(F79,Professional_Skill_Options,0)),FALSE),"X","")</f>
        <v/>
      </c>
      <c r="E79" s="1" t="str">
        <f>IF(IF((COUNTIF(Professional_Skill_Options,'Skill Workbook'!F79)&gt;0),INDEX(Professional_Skill_Knacks,MATCH(F79,Professional_Skill_Options,0)),FALSE),"X","")</f>
        <v/>
      </c>
      <c r="F79" t="s">
        <v>124</v>
      </c>
      <c r="G79" s="196"/>
      <c r="H79" s="198"/>
      <c r="I79" s="1" t="s">
        <v>126</v>
      </c>
      <c r="J79" s="1">
        <f>'Base Details'!J147</f>
        <v>0</v>
      </c>
      <c r="AE79" s="1">
        <f>SUM(K79:INDEX(K79:AD79,Level))+J79-IF(H79="",0,1)</f>
        <v>0</v>
      </c>
      <c r="AF79" s="26">
        <f t="shared" si="139"/>
        <v>-25</v>
      </c>
      <c r="AG79" s="26" t="e" cm="1">
        <f t="array" aca="1" ref="AG79" ca="1">IF(I79="NA",0,INDIRECT(LEFT(I79,2))+INDIRECT(MID(I79,4,2))+INDIRECT(RIGHT(I79,2)))</f>
        <v>#N/A</v>
      </c>
      <c r="AH79" s="26">
        <f t="shared" si="27"/>
        <v>0</v>
      </c>
      <c r="AI79" s="26">
        <f t="shared" si="28"/>
        <v>0</v>
      </c>
      <c r="AJ79" s="26"/>
      <c r="AK79" s="26" t="e">
        <f t="shared" ca="1" si="138"/>
        <v>#N/A</v>
      </c>
      <c r="AL79" s="32" t="e">
        <f t="shared" ca="1" si="29"/>
        <v>#N/A</v>
      </c>
      <c r="AP79" s="42">
        <f t="shared" si="140"/>
        <v>0</v>
      </c>
      <c r="AQ79" s="42">
        <f t="shared" si="141"/>
        <v>0</v>
      </c>
      <c r="AR79" s="42">
        <f t="shared" si="142"/>
        <v>0</v>
      </c>
      <c r="AS79" s="42">
        <f t="shared" si="143"/>
        <v>0</v>
      </c>
      <c r="AT79" s="42">
        <f t="shared" si="144"/>
        <v>0</v>
      </c>
      <c r="AU79" s="42">
        <f t="shared" si="145"/>
        <v>0</v>
      </c>
      <c r="AV79" s="42">
        <f t="shared" si="146"/>
        <v>0</v>
      </c>
      <c r="AW79" s="42">
        <f t="shared" si="147"/>
        <v>0</v>
      </c>
      <c r="AX79" s="42">
        <f t="shared" si="148"/>
        <v>0</v>
      </c>
      <c r="AY79" s="42">
        <f t="shared" si="149"/>
        <v>0</v>
      </c>
      <c r="AZ79" s="42">
        <f t="shared" si="150"/>
        <v>0</v>
      </c>
      <c r="BA79" s="42">
        <f t="shared" si="151"/>
        <v>0</v>
      </c>
      <c r="BB79" s="42">
        <f t="shared" si="152"/>
        <v>0</v>
      </c>
      <c r="BC79" s="42">
        <f t="shared" si="153"/>
        <v>0</v>
      </c>
      <c r="BD79" s="42">
        <f t="shared" si="154"/>
        <v>0</v>
      </c>
      <c r="BE79" s="42">
        <f t="shared" si="155"/>
        <v>0</v>
      </c>
      <c r="BF79" s="42">
        <f t="shared" si="156"/>
        <v>0</v>
      </c>
      <c r="BG79" s="42">
        <f t="shared" si="157"/>
        <v>0</v>
      </c>
      <c r="BH79" s="42">
        <f t="shared" si="158"/>
        <v>0</v>
      </c>
      <c r="BI79" s="42">
        <f t="shared" si="159"/>
        <v>0</v>
      </c>
    </row>
    <row r="80" spans="1:61" x14ac:dyDescent="0.25">
      <c r="A80" s="477"/>
      <c r="B80" s="21" t="s">
        <v>127</v>
      </c>
      <c r="C80" s="1" t="str">
        <f t="shared" si="183"/>
        <v>2/4</v>
      </c>
      <c r="D80" s="1" t="str">
        <f>IF(IF((COUNTIF(Professional_Skill_Options,'Skill Workbook'!F80)&gt;0),INDEX(Professional_Skill_Choices,MATCH(F80,Professional_Skill_Options,0)),FALSE),"X","")</f>
        <v/>
      </c>
      <c r="E80" s="1" t="str">
        <f>IF(IF((COUNTIF(Professional_Skill_Options,'Skill Workbook'!F80)&gt;0),INDEX(Professional_Skill_Knacks,MATCH(F80,Professional_Skill_Options,0)),FALSE),"X","")</f>
        <v/>
      </c>
      <c r="F80" t="s">
        <v>128</v>
      </c>
      <c r="G80" s="196"/>
      <c r="H80" s="198"/>
      <c r="I80" s="1" t="s">
        <v>135</v>
      </c>
      <c r="J80" s="1">
        <f>'Base Details'!J153</f>
        <v>0</v>
      </c>
      <c r="AE80" s="1">
        <f>SUM(K80:INDEX(K80:AD80,Level))+J80-IF(H80="",0,1)</f>
        <v>0</v>
      </c>
      <c r="AF80" s="26">
        <f t="shared" si="139"/>
        <v>-25</v>
      </c>
      <c r="AG80" s="26" t="e" cm="1">
        <f t="array" aca="1" ref="AG80" ca="1">IF(I80="NA",0,INDIRECT(LEFT(I80,2))+INDIRECT(MID(I80,4,2))+INDIRECT(RIGHT(I80,2)))</f>
        <v>#N/A</v>
      </c>
      <c r="AH80" s="26">
        <f t="shared" si="27"/>
        <v>0</v>
      </c>
      <c r="AI80" s="26">
        <f t="shared" si="28"/>
        <v>0</v>
      </c>
      <c r="AJ80" s="26"/>
      <c r="AK80" s="26" t="e">
        <f t="shared" ca="1" si="138"/>
        <v>#N/A</v>
      </c>
      <c r="AL80" s="32" t="e">
        <f t="shared" ca="1" si="29"/>
        <v>#N/A</v>
      </c>
      <c r="AP80" s="42">
        <f t="shared" si="140"/>
        <v>0</v>
      </c>
      <c r="AQ80" s="42">
        <f t="shared" si="141"/>
        <v>0</v>
      </c>
      <c r="AR80" s="42">
        <f t="shared" si="142"/>
        <v>0</v>
      </c>
      <c r="AS80" s="42">
        <f t="shared" si="143"/>
        <v>0</v>
      </c>
      <c r="AT80" s="42">
        <f t="shared" si="144"/>
        <v>0</v>
      </c>
      <c r="AU80" s="42">
        <f t="shared" si="145"/>
        <v>0</v>
      </c>
      <c r="AV80" s="42">
        <f t="shared" si="146"/>
        <v>0</v>
      </c>
      <c r="AW80" s="42">
        <f t="shared" si="147"/>
        <v>0</v>
      </c>
      <c r="AX80" s="42">
        <f t="shared" si="148"/>
        <v>0</v>
      </c>
      <c r="AY80" s="42">
        <f t="shared" si="149"/>
        <v>0</v>
      </c>
      <c r="AZ80" s="42">
        <f t="shared" si="150"/>
        <v>0</v>
      </c>
      <c r="BA80" s="42">
        <f t="shared" si="151"/>
        <v>0</v>
      </c>
      <c r="BB80" s="42">
        <f t="shared" si="152"/>
        <v>0</v>
      </c>
      <c r="BC80" s="42">
        <f t="shared" si="153"/>
        <v>0</v>
      </c>
      <c r="BD80" s="42">
        <f t="shared" si="154"/>
        <v>0</v>
      </c>
      <c r="BE80" s="42">
        <f t="shared" si="155"/>
        <v>0</v>
      </c>
      <c r="BF80" s="42">
        <f t="shared" si="156"/>
        <v>0</v>
      </c>
      <c r="BG80" s="42">
        <f t="shared" si="157"/>
        <v>0</v>
      </c>
      <c r="BH80" s="42">
        <f t="shared" si="158"/>
        <v>0</v>
      </c>
      <c r="BI80" s="42">
        <f t="shared" si="159"/>
        <v>0</v>
      </c>
    </row>
    <row r="81" spans="1:61" x14ac:dyDescent="0.25">
      <c r="A81" s="477"/>
      <c r="B81" s="21" t="s">
        <v>127</v>
      </c>
      <c r="C81" s="1" t="str">
        <f t="shared" si="183"/>
        <v>2/4</v>
      </c>
      <c r="D81" s="1" t="str">
        <f>IF(IF((COUNTIF(Professional_Skill_Options,'Skill Workbook'!F81)&gt;0),INDEX(Professional_Skill_Choices,MATCH(F81,Professional_Skill_Options,0)),FALSE),"X","")</f>
        <v/>
      </c>
      <c r="E81" s="1" t="str">
        <f>IF(IF((COUNTIF(Professional_Skill_Options,'Skill Workbook'!F81)&gt;0),INDEX(Professional_Skill_Knacks,MATCH(F81,Professional_Skill_Options,0)),FALSE),"X","")</f>
        <v/>
      </c>
      <c r="F81" t="s">
        <v>129</v>
      </c>
      <c r="G81" s="196"/>
      <c r="H81" s="198"/>
      <c r="I81" s="1" t="s">
        <v>136</v>
      </c>
      <c r="J81" s="1">
        <f>'Base Details'!J154</f>
        <v>0</v>
      </c>
      <c r="AE81" s="1">
        <f>SUM(K81:INDEX(K81:AD81,Level))+J81-IF(H81="",0,1)</f>
        <v>0</v>
      </c>
      <c r="AF81" s="26">
        <f t="shared" si="139"/>
        <v>-25</v>
      </c>
      <c r="AG81" s="26" t="e" cm="1">
        <f t="array" aca="1" ref="AG81" ca="1">IF(I81="NA",0,INDIRECT(LEFT(I81,2))+INDIRECT(MID(I81,4,2))+INDIRECT(RIGHT(I81,2)))</f>
        <v>#N/A</v>
      </c>
      <c r="AH81" s="26">
        <f t="shared" si="27"/>
        <v>0</v>
      </c>
      <c r="AI81" s="26">
        <f t="shared" si="28"/>
        <v>0</v>
      </c>
      <c r="AJ81" s="26"/>
      <c r="AK81" s="26" t="e">
        <f t="shared" ca="1" si="138"/>
        <v>#N/A</v>
      </c>
      <c r="AL81" s="32" t="e">
        <f t="shared" ca="1" si="29"/>
        <v>#N/A</v>
      </c>
      <c r="AP81" s="42">
        <f t="shared" si="140"/>
        <v>0</v>
      </c>
      <c r="AQ81" s="42">
        <f t="shared" si="141"/>
        <v>0</v>
      </c>
      <c r="AR81" s="42">
        <f t="shared" si="142"/>
        <v>0</v>
      </c>
      <c r="AS81" s="42">
        <f t="shared" si="143"/>
        <v>0</v>
      </c>
      <c r="AT81" s="42">
        <f t="shared" si="144"/>
        <v>0</v>
      </c>
      <c r="AU81" s="42">
        <f t="shared" si="145"/>
        <v>0</v>
      </c>
      <c r="AV81" s="42">
        <f t="shared" si="146"/>
        <v>0</v>
      </c>
      <c r="AW81" s="42">
        <f t="shared" si="147"/>
        <v>0</v>
      </c>
      <c r="AX81" s="42">
        <f t="shared" si="148"/>
        <v>0</v>
      </c>
      <c r="AY81" s="42">
        <f t="shared" si="149"/>
        <v>0</v>
      </c>
      <c r="AZ81" s="42">
        <f t="shared" si="150"/>
        <v>0</v>
      </c>
      <c r="BA81" s="42">
        <f t="shared" si="151"/>
        <v>0</v>
      </c>
      <c r="BB81" s="42">
        <f t="shared" si="152"/>
        <v>0</v>
      </c>
      <c r="BC81" s="42">
        <f t="shared" si="153"/>
        <v>0</v>
      </c>
      <c r="BD81" s="42">
        <f t="shared" si="154"/>
        <v>0</v>
      </c>
      <c r="BE81" s="42">
        <f t="shared" si="155"/>
        <v>0</v>
      </c>
      <c r="BF81" s="42">
        <f t="shared" si="156"/>
        <v>0</v>
      </c>
      <c r="BG81" s="42">
        <f t="shared" si="157"/>
        <v>0</v>
      </c>
      <c r="BH81" s="42">
        <f t="shared" si="158"/>
        <v>0</v>
      </c>
      <c r="BI81" s="42">
        <f t="shared" si="159"/>
        <v>0</v>
      </c>
    </row>
    <row r="82" spans="1:61" x14ac:dyDescent="0.25">
      <c r="A82" s="477"/>
      <c r="B82" s="21" t="s">
        <v>127</v>
      </c>
      <c r="C82" s="1" t="str">
        <f t="shared" si="183"/>
        <v>2/4</v>
      </c>
      <c r="D82" s="1" t="str">
        <f>IF(IF((COUNTIF(Professional_Skill_Options,'Skill Workbook'!F82)&gt;0),INDEX(Professional_Skill_Choices,MATCH(F82,Professional_Skill_Options,0)),FALSE),"X","")</f>
        <v/>
      </c>
      <c r="E82" s="1" t="str">
        <f>IF(IF((COUNTIF(Professional_Skill_Options,'Skill Workbook'!F82)&gt;0),INDEX(Professional_Skill_Knacks,MATCH(F82,Professional_Skill_Options,0)),FALSE),"X","")</f>
        <v/>
      </c>
      <c r="F82" t="s">
        <v>130</v>
      </c>
      <c r="G82" s="196"/>
      <c r="H82" s="198"/>
      <c r="I82" s="1" t="s">
        <v>135</v>
      </c>
      <c r="J82" s="1">
        <f>'Base Details'!J155</f>
        <v>0</v>
      </c>
      <c r="AE82" s="1">
        <f>SUM(K82:INDEX(K82:AD82,Level))+J82-IF(H82="",0,1)</f>
        <v>0</v>
      </c>
      <c r="AF82" s="26">
        <f t="shared" si="139"/>
        <v>-25</v>
      </c>
      <c r="AG82" s="26" t="e" cm="1">
        <f t="array" aca="1" ref="AG82" ca="1">IF(I82="NA",0,INDIRECT(LEFT(I82,2))+INDIRECT(MID(I82,4,2))+INDIRECT(RIGHT(I82,2)))</f>
        <v>#N/A</v>
      </c>
      <c r="AH82" s="26">
        <f t="shared" si="27"/>
        <v>0</v>
      </c>
      <c r="AI82" s="26">
        <f t="shared" si="28"/>
        <v>0</v>
      </c>
      <c r="AJ82" s="26"/>
      <c r="AK82" s="26" t="e">
        <f t="shared" ca="1" si="138"/>
        <v>#N/A</v>
      </c>
      <c r="AL82" s="32" t="e">
        <f t="shared" ca="1" si="29"/>
        <v>#N/A</v>
      </c>
      <c r="AP82" s="42">
        <f t="shared" si="140"/>
        <v>0</v>
      </c>
      <c r="AQ82" s="42">
        <f t="shared" si="141"/>
        <v>0</v>
      </c>
      <c r="AR82" s="42">
        <f t="shared" si="142"/>
        <v>0</v>
      </c>
      <c r="AS82" s="42">
        <f t="shared" si="143"/>
        <v>0</v>
      </c>
      <c r="AT82" s="42">
        <f t="shared" si="144"/>
        <v>0</v>
      </c>
      <c r="AU82" s="42">
        <f t="shared" si="145"/>
        <v>0</v>
      </c>
      <c r="AV82" s="42">
        <f t="shared" si="146"/>
        <v>0</v>
      </c>
      <c r="AW82" s="42">
        <f t="shared" si="147"/>
        <v>0</v>
      </c>
      <c r="AX82" s="42">
        <f t="shared" si="148"/>
        <v>0</v>
      </c>
      <c r="AY82" s="42">
        <f t="shared" si="149"/>
        <v>0</v>
      </c>
      <c r="AZ82" s="42">
        <f t="shared" si="150"/>
        <v>0</v>
      </c>
      <c r="BA82" s="42">
        <f t="shared" si="151"/>
        <v>0</v>
      </c>
      <c r="BB82" s="42">
        <f t="shared" si="152"/>
        <v>0</v>
      </c>
      <c r="BC82" s="42">
        <f t="shared" si="153"/>
        <v>0</v>
      </c>
      <c r="BD82" s="42">
        <f t="shared" si="154"/>
        <v>0</v>
      </c>
      <c r="BE82" s="42">
        <f t="shared" si="155"/>
        <v>0</v>
      </c>
      <c r="BF82" s="42">
        <f t="shared" si="156"/>
        <v>0</v>
      </c>
      <c r="BG82" s="42">
        <f t="shared" si="157"/>
        <v>0</v>
      </c>
      <c r="BH82" s="42">
        <f t="shared" si="158"/>
        <v>0</v>
      </c>
      <c r="BI82" s="42">
        <f t="shared" si="159"/>
        <v>0</v>
      </c>
    </row>
    <row r="83" spans="1:61" x14ac:dyDescent="0.25">
      <c r="A83" s="477"/>
      <c r="B83" s="21" t="s">
        <v>127</v>
      </c>
      <c r="C83" s="1" t="str">
        <f t="shared" si="183"/>
        <v>2/4</v>
      </c>
      <c r="D83" s="1" t="str">
        <f>IF(IF((COUNTIF(Professional_Skill_Options,'Skill Workbook'!F83)&gt;0),INDEX(Professional_Skill_Choices,MATCH(F83,Professional_Skill_Options,0)),FALSE),"X","")</f>
        <v/>
      </c>
      <c r="E83" s="1" t="str">
        <f>IF(IF((COUNTIF(Professional_Skill_Options,'Skill Workbook'!F83)&gt;0),INDEX(Professional_Skill_Knacks,MATCH(F83,Professional_Skill_Options,0)),FALSE),"X","")</f>
        <v/>
      </c>
      <c r="F83" t="s">
        <v>131</v>
      </c>
      <c r="G83" s="196"/>
      <c r="H83" s="198"/>
      <c r="I83" s="1" t="s">
        <v>135</v>
      </c>
      <c r="J83" s="1">
        <f>'Base Details'!J156</f>
        <v>0</v>
      </c>
      <c r="AE83" s="1">
        <f>SUM(K83:INDEX(K83:AD83,Level))+J83-IF(H83="",0,1)</f>
        <v>0</v>
      </c>
      <c r="AF83" s="26">
        <f t="shared" si="139"/>
        <v>-25</v>
      </c>
      <c r="AG83" s="26" t="e" cm="1">
        <f t="array" aca="1" ref="AG83" ca="1">IF(I83="NA",0,INDIRECT(LEFT(I83,2))+INDIRECT(MID(I83,4,2))+INDIRECT(RIGHT(I83,2)))</f>
        <v>#N/A</v>
      </c>
      <c r="AH83" s="26">
        <f t="shared" si="27"/>
        <v>0</v>
      </c>
      <c r="AI83" s="26">
        <f t="shared" si="28"/>
        <v>0</v>
      </c>
      <c r="AJ83" s="26"/>
      <c r="AK83" s="26" t="e">
        <f t="shared" ca="1" si="138"/>
        <v>#N/A</v>
      </c>
      <c r="AL83" s="32" t="e">
        <f t="shared" ca="1" si="29"/>
        <v>#N/A</v>
      </c>
      <c r="AP83" s="42">
        <f t="shared" si="140"/>
        <v>0</v>
      </c>
      <c r="AQ83" s="42">
        <f t="shared" si="141"/>
        <v>0</v>
      </c>
      <c r="AR83" s="42">
        <f t="shared" si="142"/>
        <v>0</v>
      </c>
      <c r="AS83" s="42">
        <f t="shared" si="143"/>
        <v>0</v>
      </c>
      <c r="AT83" s="42">
        <f t="shared" si="144"/>
        <v>0</v>
      </c>
      <c r="AU83" s="42">
        <f t="shared" si="145"/>
        <v>0</v>
      </c>
      <c r="AV83" s="42">
        <f t="shared" si="146"/>
        <v>0</v>
      </c>
      <c r="AW83" s="42">
        <f t="shared" si="147"/>
        <v>0</v>
      </c>
      <c r="AX83" s="42">
        <f t="shared" si="148"/>
        <v>0</v>
      </c>
      <c r="AY83" s="42">
        <f t="shared" si="149"/>
        <v>0</v>
      </c>
      <c r="AZ83" s="42">
        <f t="shared" si="150"/>
        <v>0</v>
      </c>
      <c r="BA83" s="42">
        <f t="shared" si="151"/>
        <v>0</v>
      </c>
      <c r="BB83" s="42">
        <f t="shared" si="152"/>
        <v>0</v>
      </c>
      <c r="BC83" s="42">
        <f t="shared" si="153"/>
        <v>0</v>
      </c>
      <c r="BD83" s="42">
        <f t="shared" si="154"/>
        <v>0</v>
      </c>
      <c r="BE83" s="42">
        <f t="shared" si="155"/>
        <v>0</v>
      </c>
      <c r="BF83" s="42">
        <f t="shared" si="156"/>
        <v>0</v>
      </c>
      <c r="BG83" s="42">
        <f t="shared" si="157"/>
        <v>0</v>
      </c>
      <c r="BH83" s="42">
        <f t="shared" si="158"/>
        <v>0</v>
      </c>
      <c r="BI83" s="42">
        <f t="shared" si="159"/>
        <v>0</v>
      </c>
    </row>
    <row r="84" spans="1:61" x14ac:dyDescent="0.25">
      <c r="A84" s="477"/>
      <c r="B84" s="21" t="s">
        <v>127</v>
      </c>
      <c r="C84" s="1" t="str">
        <f t="shared" si="183"/>
        <v>2/4</v>
      </c>
      <c r="D84" s="1" t="str">
        <f>IF(IF((COUNTIF(Professional_Skill_Options,'Skill Workbook'!F84)&gt;0),INDEX(Professional_Skill_Choices,MATCH(F84,Professional_Skill_Options,0)),FALSE),"X","")</f>
        <v/>
      </c>
      <c r="E84" s="1" t="str">
        <f>IF(IF((COUNTIF(Professional_Skill_Options,'Skill Workbook'!F84)&gt;0),INDEX(Professional_Skill_Knacks,MATCH(F84,Professional_Skill_Options,0)),FALSE),"X","")</f>
        <v/>
      </c>
      <c r="F84" t="s">
        <v>132</v>
      </c>
      <c r="G84" s="196"/>
      <c r="H84" s="198"/>
      <c r="I84" s="1" t="s">
        <v>137</v>
      </c>
      <c r="J84" s="1">
        <f>'Base Details'!J157</f>
        <v>0</v>
      </c>
      <c r="AE84" s="1">
        <f>SUM(K84:INDEX(K84:AD84,Level))+J84-IF(H84="",0,1)</f>
        <v>0</v>
      </c>
      <c r="AF84" s="26">
        <f t="shared" si="139"/>
        <v>-25</v>
      </c>
      <c r="AG84" s="26" t="e" cm="1">
        <f t="array" aca="1" ref="AG84" ca="1">IF(I84="NA",0,INDIRECT(LEFT(I84,2))+INDIRECT(MID(I84,4,2))+INDIRECT(RIGHT(I84,2)))</f>
        <v>#N/A</v>
      </c>
      <c r="AH84" s="26">
        <f t="shared" si="27"/>
        <v>0</v>
      </c>
      <c r="AI84" s="26">
        <f t="shared" si="28"/>
        <v>0</v>
      </c>
      <c r="AJ84" s="26"/>
      <c r="AK84" s="26" t="e">
        <f t="shared" ca="1" si="138"/>
        <v>#N/A</v>
      </c>
      <c r="AL84" s="32" t="e">
        <f t="shared" ca="1" si="29"/>
        <v>#N/A</v>
      </c>
      <c r="AP84" s="42">
        <f t="shared" si="140"/>
        <v>0</v>
      </c>
      <c r="AQ84" s="42">
        <f t="shared" si="141"/>
        <v>0</v>
      </c>
      <c r="AR84" s="42">
        <f t="shared" si="142"/>
        <v>0</v>
      </c>
      <c r="AS84" s="42">
        <f t="shared" si="143"/>
        <v>0</v>
      </c>
      <c r="AT84" s="42">
        <f t="shared" si="144"/>
        <v>0</v>
      </c>
      <c r="AU84" s="42">
        <f t="shared" si="145"/>
        <v>0</v>
      </c>
      <c r="AV84" s="42">
        <f t="shared" si="146"/>
        <v>0</v>
      </c>
      <c r="AW84" s="42">
        <f t="shared" si="147"/>
        <v>0</v>
      </c>
      <c r="AX84" s="42">
        <f t="shared" si="148"/>
        <v>0</v>
      </c>
      <c r="AY84" s="42">
        <f t="shared" si="149"/>
        <v>0</v>
      </c>
      <c r="AZ84" s="42">
        <f t="shared" si="150"/>
        <v>0</v>
      </c>
      <c r="BA84" s="42">
        <f t="shared" si="151"/>
        <v>0</v>
      </c>
      <c r="BB84" s="42">
        <f t="shared" si="152"/>
        <v>0</v>
      </c>
      <c r="BC84" s="42">
        <f t="shared" si="153"/>
        <v>0</v>
      </c>
      <c r="BD84" s="42">
        <f t="shared" si="154"/>
        <v>0</v>
      </c>
      <c r="BE84" s="42">
        <f t="shared" si="155"/>
        <v>0</v>
      </c>
      <c r="BF84" s="42">
        <f t="shared" si="156"/>
        <v>0</v>
      </c>
      <c r="BG84" s="42">
        <f t="shared" si="157"/>
        <v>0</v>
      </c>
      <c r="BH84" s="42">
        <f t="shared" si="158"/>
        <v>0</v>
      </c>
      <c r="BI84" s="42">
        <f t="shared" si="159"/>
        <v>0</v>
      </c>
    </row>
    <row r="85" spans="1:61" x14ac:dyDescent="0.25">
      <c r="A85" s="477"/>
      <c r="B85" s="21" t="s">
        <v>127</v>
      </c>
      <c r="C85" s="1" t="str">
        <f t="shared" si="183"/>
        <v>2/4</v>
      </c>
      <c r="D85" s="1" t="str">
        <f>IF(IF((COUNTIF(Professional_Skill_Options,'Skill Workbook'!F85)&gt;0),INDEX(Professional_Skill_Choices,MATCH(F85,Professional_Skill_Options,0)),FALSE),"X","")</f>
        <v/>
      </c>
      <c r="E85" s="1" t="str">
        <f>IF(IF((COUNTIF(Professional_Skill_Options,'Skill Workbook'!F85)&gt;0),INDEX(Professional_Skill_Knacks,MATCH(F85,Professional_Skill_Options,0)),FALSE),"X","")</f>
        <v/>
      </c>
      <c r="F85" t="s">
        <v>133</v>
      </c>
      <c r="G85" s="196"/>
      <c r="H85" s="198"/>
      <c r="I85" s="1" t="s">
        <v>137</v>
      </c>
      <c r="J85" s="1">
        <f>'Base Details'!J158</f>
        <v>0</v>
      </c>
      <c r="AE85" s="1">
        <f>SUM(K85:INDEX(K85:AD85,Level))+J85-IF(H85="",0,1)</f>
        <v>0</v>
      </c>
      <c r="AF85" s="26">
        <f t="shared" si="139"/>
        <v>-25</v>
      </c>
      <c r="AG85" s="26" t="e" cm="1">
        <f t="array" aca="1" ref="AG85" ca="1">IF(I85="NA",0,INDIRECT(LEFT(I85,2))+INDIRECT(MID(I85,4,2))+INDIRECT(RIGHT(I85,2)))</f>
        <v>#N/A</v>
      </c>
      <c r="AH85" s="26">
        <f t="shared" si="27"/>
        <v>0</v>
      </c>
      <c r="AI85" s="26">
        <f t="shared" si="28"/>
        <v>0</v>
      </c>
      <c r="AJ85" s="26"/>
      <c r="AK85" s="26" t="e">
        <f t="shared" ca="1" si="138"/>
        <v>#N/A</v>
      </c>
      <c r="AL85" s="32" t="e">
        <f t="shared" ca="1" si="29"/>
        <v>#N/A</v>
      </c>
      <c r="AP85" s="42">
        <f t="shared" si="140"/>
        <v>0</v>
      </c>
      <c r="AQ85" s="42">
        <f t="shared" si="141"/>
        <v>0</v>
      </c>
      <c r="AR85" s="42">
        <f t="shared" si="142"/>
        <v>0</v>
      </c>
      <c r="AS85" s="42">
        <f t="shared" si="143"/>
        <v>0</v>
      </c>
      <c r="AT85" s="42">
        <f t="shared" si="144"/>
        <v>0</v>
      </c>
      <c r="AU85" s="42">
        <f t="shared" si="145"/>
        <v>0</v>
      </c>
      <c r="AV85" s="42">
        <f t="shared" si="146"/>
        <v>0</v>
      </c>
      <c r="AW85" s="42">
        <f t="shared" si="147"/>
        <v>0</v>
      </c>
      <c r="AX85" s="42">
        <f t="shared" si="148"/>
        <v>0</v>
      </c>
      <c r="AY85" s="42">
        <f t="shared" si="149"/>
        <v>0</v>
      </c>
      <c r="AZ85" s="42">
        <f t="shared" si="150"/>
        <v>0</v>
      </c>
      <c r="BA85" s="42">
        <f t="shared" si="151"/>
        <v>0</v>
      </c>
      <c r="BB85" s="42">
        <f t="shared" si="152"/>
        <v>0</v>
      </c>
      <c r="BC85" s="42">
        <f t="shared" si="153"/>
        <v>0</v>
      </c>
      <c r="BD85" s="42">
        <f t="shared" si="154"/>
        <v>0</v>
      </c>
      <c r="BE85" s="42">
        <f t="shared" si="155"/>
        <v>0</v>
      </c>
      <c r="BF85" s="42">
        <f t="shared" si="156"/>
        <v>0</v>
      </c>
      <c r="BG85" s="42">
        <f t="shared" si="157"/>
        <v>0</v>
      </c>
      <c r="BH85" s="42">
        <f t="shared" si="158"/>
        <v>0</v>
      </c>
      <c r="BI85" s="42">
        <f t="shared" si="159"/>
        <v>0</v>
      </c>
    </row>
    <row r="86" spans="1:61" x14ac:dyDescent="0.25">
      <c r="A86" s="477"/>
      <c r="B86" s="21" t="s">
        <v>127</v>
      </c>
      <c r="C86" s="1" t="str">
        <f t="shared" si="183"/>
        <v>2/4</v>
      </c>
      <c r="D86" s="1" t="str">
        <f>IF(IF((COUNTIF(Professional_Skill_Options,'Skill Workbook'!F86)&gt;0),INDEX(Professional_Skill_Choices,MATCH(F86,Professional_Skill_Options,0)),FALSE),"X","")</f>
        <v/>
      </c>
      <c r="E86" s="1" t="str">
        <f>IF(IF((COUNTIF(Professional_Skill_Options,'Skill Workbook'!F86)&gt;0),INDEX(Professional_Skill_Knacks,MATCH(F86,Professional_Skill_Options,0)),FALSE),"X","")</f>
        <v/>
      </c>
      <c r="F86" t="s">
        <v>134</v>
      </c>
      <c r="G86" s="196"/>
      <c r="H86" s="198"/>
      <c r="I86" s="1" t="s">
        <v>135</v>
      </c>
      <c r="J86" s="1">
        <f>'Base Details'!J159</f>
        <v>0</v>
      </c>
      <c r="AE86" s="1">
        <f>SUM(K86:INDEX(K86:AD86,Level))+J86-IF(H86="",0,1)</f>
        <v>0</v>
      </c>
      <c r="AF86" s="26">
        <f t="shared" si="139"/>
        <v>-25</v>
      </c>
      <c r="AG86" s="26" t="e" cm="1">
        <f t="array" aca="1" ref="AG86" ca="1">IF(I86="NA",0,INDIRECT(LEFT(I86,2))+INDIRECT(MID(I86,4,2))+INDIRECT(RIGHT(I86,2)))</f>
        <v>#N/A</v>
      </c>
      <c r="AH86" s="26">
        <f t="shared" si="27"/>
        <v>0</v>
      </c>
      <c r="AI86" s="26">
        <f t="shared" si="28"/>
        <v>0</v>
      </c>
      <c r="AJ86" s="26"/>
      <c r="AK86" s="26" t="e">
        <f t="shared" ca="1" si="138"/>
        <v>#N/A</v>
      </c>
      <c r="AL86" s="32" t="e">
        <f t="shared" ca="1" si="29"/>
        <v>#N/A</v>
      </c>
      <c r="AP86" s="42">
        <f t="shared" si="140"/>
        <v>0</v>
      </c>
      <c r="AQ86" s="42">
        <f t="shared" si="141"/>
        <v>0</v>
      </c>
      <c r="AR86" s="42">
        <f t="shared" si="142"/>
        <v>0</v>
      </c>
      <c r="AS86" s="42">
        <f t="shared" si="143"/>
        <v>0</v>
      </c>
      <c r="AT86" s="42">
        <f t="shared" si="144"/>
        <v>0</v>
      </c>
      <c r="AU86" s="42">
        <f t="shared" si="145"/>
        <v>0</v>
      </c>
      <c r="AV86" s="42">
        <f t="shared" si="146"/>
        <v>0</v>
      </c>
      <c r="AW86" s="42">
        <f t="shared" si="147"/>
        <v>0</v>
      </c>
      <c r="AX86" s="42">
        <f t="shared" si="148"/>
        <v>0</v>
      </c>
      <c r="AY86" s="42">
        <f t="shared" si="149"/>
        <v>0</v>
      </c>
      <c r="AZ86" s="42">
        <f t="shared" si="150"/>
        <v>0</v>
      </c>
      <c r="BA86" s="42">
        <f t="shared" si="151"/>
        <v>0</v>
      </c>
      <c r="BB86" s="42">
        <f t="shared" si="152"/>
        <v>0</v>
      </c>
      <c r="BC86" s="42">
        <f t="shared" si="153"/>
        <v>0</v>
      </c>
      <c r="BD86" s="42">
        <f t="shared" si="154"/>
        <v>0</v>
      </c>
      <c r="BE86" s="42">
        <f t="shared" si="155"/>
        <v>0</v>
      </c>
      <c r="BF86" s="42">
        <f t="shared" si="156"/>
        <v>0</v>
      </c>
      <c r="BG86" s="42">
        <f t="shared" si="157"/>
        <v>0</v>
      </c>
      <c r="BH86" s="42">
        <f t="shared" si="158"/>
        <v>0</v>
      </c>
      <c r="BI86" s="42">
        <f t="shared" si="159"/>
        <v>0</v>
      </c>
    </row>
    <row r="87" spans="1:61" x14ac:dyDescent="0.25">
      <c r="A87" s="477"/>
      <c r="B87" s="21" t="s">
        <v>138</v>
      </c>
      <c r="C87" s="1" t="str">
        <f t="shared" si="183"/>
        <v>4/6</v>
      </c>
      <c r="D87" s="1" t="str">
        <f>IF(IF((COUNTIF(Professional_Skill_Options,'Skill Workbook'!F87)&gt;0),INDEX(Professional_Skill_Choices,MATCH(F87,Professional_Skill_Options,0)),FALSE),"X","")</f>
        <v/>
      </c>
      <c r="E87" s="1" t="str">
        <f>IF(IF((COUNTIF(Professional_Skill_Options,'Skill Workbook'!F87)&gt;0),INDEX(Professional_Skill_Knacks,MATCH(F87,Professional_Skill_Options,0)),FALSE),"X","")</f>
        <v/>
      </c>
      <c r="F87" t="s">
        <v>139</v>
      </c>
      <c r="G87" s="196"/>
      <c r="H87" s="198"/>
      <c r="I87" s="1" t="s">
        <v>125</v>
      </c>
      <c r="J87" s="1">
        <f>'Base Details'!V106</f>
        <v>0</v>
      </c>
      <c r="AE87" s="1">
        <f>SUM(K87:INDEX(K87:AD87,Level))+J87-IF(H87="",0,1)</f>
        <v>0</v>
      </c>
      <c r="AF87" s="26">
        <f t="shared" si="139"/>
        <v>-25</v>
      </c>
      <c r="AG87" s="26" t="e" cm="1">
        <f t="array" aca="1" ref="AG87" ca="1">IF(I87="NA",0,INDIRECT(LEFT(I87,2))+INDIRECT(MID(I87,4,2))+INDIRECT(RIGHT(I87,2)))</f>
        <v>#N/A</v>
      </c>
      <c r="AH87" s="26">
        <f t="shared" si="27"/>
        <v>0</v>
      </c>
      <c r="AI87" s="26">
        <f t="shared" si="28"/>
        <v>0</v>
      </c>
      <c r="AJ87" s="26"/>
      <c r="AK87" s="26" t="e">
        <f t="shared" ca="1" si="138"/>
        <v>#N/A</v>
      </c>
      <c r="AL87" s="32" t="e">
        <f t="shared" ca="1" si="29"/>
        <v>#N/A</v>
      </c>
      <c r="AP87" s="42">
        <f t="shared" si="140"/>
        <v>0</v>
      </c>
      <c r="AQ87" s="42">
        <f t="shared" si="141"/>
        <v>0</v>
      </c>
      <c r="AR87" s="42">
        <f t="shared" si="142"/>
        <v>0</v>
      </c>
      <c r="AS87" s="42">
        <f t="shared" si="143"/>
        <v>0</v>
      </c>
      <c r="AT87" s="42">
        <f t="shared" si="144"/>
        <v>0</v>
      </c>
      <c r="AU87" s="42">
        <f t="shared" si="145"/>
        <v>0</v>
      </c>
      <c r="AV87" s="42">
        <f t="shared" si="146"/>
        <v>0</v>
      </c>
      <c r="AW87" s="42">
        <f t="shared" si="147"/>
        <v>0</v>
      </c>
      <c r="AX87" s="42">
        <f t="shared" si="148"/>
        <v>0</v>
      </c>
      <c r="AY87" s="42">
        <f t="shared" si="149"/>
        <v>0</v>
      </c>
      <c r="AZ87" s="42">
        <f t="shared" si="150"/>
        <v>0</v>
      </c>
      <c r="BA87" s="42">
        <f t="shared" si="151"/>
        <v>0</v>
      </c>
      <c r="BB87" s="42">
        <f t="shared" si="152"/>
        <v>0</v>
      </c>
      <c r="BC87" s="42">
        <f t="shared" si="153"/>
        <v>0</v>
      </c>
      <c r="BD87" s="42">
        <f t="shared" si="154"/>
        <v>0</v>
      </c>
      <c r="BE87" s="42">
        <f t="shared" si="155"/>
        <v>0</v>
      </c>
      <c r="BF87" s="42">
        <f t="shared" si="156"/>
        <v>0</v>
      </c>
      <c r="BG87" s="42">
        <f t="shared" si="157"/>
        <v>0</v>
      </c>
      <c r="BH87" s="42">
        <f t="shared" si="158"/>
        <v>0</v>
      </c>
      <c r="BI87" s="42">
        <f t="shared" si="159"/>
        <v>0</v>
      </c>
    </row>
    <row r="88" spans="1:61" x14ac:dyDescent="0.25">
      <c r="A88" s="477"/>
      <c r="B88" s="21" t="s">
        <v>138</v>
      </c>
      <c r="C88" s="1" t="str">
        <f t="shared" si="183"/>
        <v>4/6</v>
      </c>
      <c r="D88" s="1" t="str">
        <f>IF(IF((COUNTIF(Professional_Skill_Options,'Skill Workbook'!F88)&gt;0),INDEX(Professional_Skill_Choices,MATCH(F88,Professional_Skill_Options,0)),FALSE),"X","")</f>
        <v/>
      </c>
      <c r="E88" s="1" t="str">
        <f>IF(IF((COUNTIF(Professional_Skill_Options,'Skill Workbook'!F88)&gt;0),INDEX(Professional_Skill_Knacks,MATCH(F88,Professional_Skill_Options,0)),FALSE),"X","")</f>
        <v/>
      </c>
      <c r="F88" t="s">
        <v>140</v>
      </c>
      <c r="G88" s="196"/>
      <c r="H88" s="198"/>
      <c r="I88" s="1" t="s">
        <v>125</v>
      </c>
      <c r="J88" s="46"/>
      <c r="AE88" s="1">
        <f>SUM(K88:INDEX(K88:AD88,Level))+J88-IF(H88="",0,1)</f>
        <v>0</v>
      </c>
      <c r="AF88" s="26">
        <f t="shared" si="139"/>
        <v>-25</v>
      </c>
      <c r="AG88" s="26" t="e" cm="1">
        <f t="array" aca="1" ref="AG88" ca="1">IF(I88="NA",0,INDIRECT(LEFT(I88,2))+INDIRECT(MID(I88,4,2))+INDIRECT(RIGHT(I88,2)))</f>
        <v>#N/A</v>
      </c>
      <c r="AH88" s="26">
        <f t="shared" si="27"/>
        <v>0</v>
      </c>
      <c r="AI88" s="26">
        <f t="shared" si="28"/>
        <v>0</v>
      </c>
      <c r="AJ88" s="26"/>
      <c r="AK88" s="26" t="e">
        <f t="shared" ca="1" si="138"/>
        <v>#N/A</v>
      </c>
      <c r="AL88" s="32" t="e">
        <f t="shared" ca="1" si="29"/>
        <v>#N/A</v>
      </c>
      <c r="AP88" s="42">
        <f t="shared" si="140"/>
        <v>0</v>
      </c>
      <c r="AQ88" s="42">
        <f t="shared" si="141"/>
        <v>0</v>
      </c>
      <c r="AR88" s="42">
        <f t="shared" si="142"/>
        <v>0</v>
      </c>
      <c r="AS88" s="42">
        <f t="shared" si="143"/>
        <v>0</v>
      </c>
      <c r="AT88" s="42">
        <f t="shared" si="144"/>
        <v>0</v>
      </c>
      <c r="AU88" s="42">
        <f t="shared" si="145"/>
        <v>0</v>
      </c>
      <c r="AV88" s="42">
        <f t="shared" si="146"/>
        <v>0</v>
      </c>
      <c r="AW88" s="42">
        <f t="shared" si="147"/>
        <v>0</v>
      </c>
      <c r="AX88" s="42">
        <f t="shared" si="148"/>
        <v>0</v>
      </c>
      <c r="AY88" s="42">
        <f t="shared" si="149"/>
        <v>0</v>
      </c>
      <c r="AZ88" s="42">
        <f t="shared" si="150"/>
        <v>0</v>
      </c>
      <c r="BA88" s="42">
        <f t="shared" si="151"/>
        <v>0</v>
      </c>
      <c r="BB88" s="42">
        <f t="shared" si="152"/>
        <v>0</v>
      </c>
      <c r="BC88" s="42">
        <f t="shared" si="153"/>
        <v>0</v>
      </c>
      <c r="BD88" s="42">
        <f t="shared" si="154"/>
        <v>0</v>
      </c>
      <c r="BE88" s="42">
        <f t="shared" si="155"/>
        <v>0</v>
      </c>
      <c r="BF88" s="42">
        <f t="shared" si="156"/>
        <v>0</v>
      </c>
      <c r="BG88" s="42">
        <f t="shared" si="157"/>
        <v>0</v>
      </c>
      <c r="BH88" s="42">
        <f t="shared" si="158"/>
        <v>0</v>
      </c>
      <c r="BI88" s="42">
        <f t="shared" si="159"/>
        <v>0</v>
      </c>
    </row>
    <row r="89" spans="1:61" x14ac:dyDescent="0.25">
      <c r="A89" s="477"/>
      <c r="B89" s="21" t="s">
        <v>141</v>
      </c>
      <c r="C89" s="1" t="str">
        <f t="shared" si="183"/>
        <v>3/4</v>
      </c>
      <c r="D89" s="1" t="str">
        <f>IF(IF((COUNTIF(Professional_Skill_Options,'Skill Workbook'!F89)&gt;0),INDEX(Professional_Skill_Choices,MATCH(F89,Professional_Skill_Options,0)),FALSE),"X","")</f>
        <v/>
      </c>
      <c r="E89" s="1" t="str">
        <f>IF(IF((COUNTIF(Professional_Skill_Options,'Skill Workbook'!F89)&gt;0),INDEX(Professional_Skill_Knacks,MATCH(F89,Professional_Skill_Options,0)),FALSE),"X","")</f>
        <v/>
      </c>
      <c r="F89" t="s">
        <v>142</v>
      </c>
      <c r="G89" s="196"/>
      <c r="H89" s="198"/>
      <c r="I89" s="1" t="s">
        <v>145</v>
      </c>
      <c r="J89" s="1">
        <f>'Base Details'!V107</f>
        <v>0</v>
      </c>
      <c r="AE89" s="1">
        <f>SUM(K89:INDEX(K89:AD89,Level))+J89-IF(H89="",0,1)</f>
        <v>0</v>
      </c>
      <c r="AF89" s="26">
        <f t="shared" si="139"/>
        <v>-25</v>
      </c>
      <c r="AG89" s="26" t="e" cm="1">
        <f t="array" aca="1" ref="AG89" ca="1">IF(I89="NA",0,INDIRECT(LEFT(I89,2))+INDIRECT(MID(I89,4,2))+INDIRECT(RIGHT(I89,2)))</f>
        <v>#N/A</v>
      </c>
      <c r="AH89" s="26">
        <f t="shared" si="27"/>
        <v>0</v>
      </c>
      <c r="AI89" s="26">
        <f t="shared" si="28"/>
        <v>0</v>
      </c>
      <c r="AJ89" s="26"/>
      <c r="AK89" s="26" t="e">
        <f t="shared" ca="1" si="138"/>
        <v>#N/A</v>
      </c>
      <c r="AL89" s="32" t="e">
        <f t="shared" ca="1" si="29"/>
        <v>#N/A</v>
      </c>
      <c r="AP89" s="42">
        <f t="shared" si="140"/>
        <v>0</v>
      </c>
      <c r="AQ89" s="42">
        <f t="shared" si="141"/>
        <v>0</v>
      </c>
      <c r="AR89" s="42">
        <f t="shared" si="142"/>
        <v>0</v>
      </c>
      <c r="AS89" s="42">
        <f t="shared" si="143"/>
        <v>0</v>
      </c>
      <c r="AT89" s="42">
        <f t="shared" si="144"/>
        <v>0</v>
      </c>
      <c r="AU89" s="42">
        <f t="shared" si="145"/>
        <v>0</v>
      </c>
      <c r="AV89" s="42">
        <f t="shared" si="146"/>
        <v>0</v>
      </c>
      <c r="AW89" s="42">
        <f t="shared" si="147"/>
        <v>0</v>
      </c>
      <c r="AX89" s="42">
        <f t="shared" si="148"/>
        <v>0</v>
      </c>
      <c r="AY89" s="42">
        <f t="shared" si="149"/>
        <v>0</v>
      </c>
      <c r="AZ89" s="42">
        <f t="shared" si="150"/>
        <v>0</v>
      </c>
      <c r="BA89" s="42">
        <f t="shared" si="151"/>
        <v>0</v>
      </c>
      <c r="BB89" s="42">
        <f t="shared" si="152"/>
        <v>0</v>
      </c>
      <c r="BC89" s="42">
        <f t="shared" si="153"/>
        <v>0</v>
      </c>
      <c r="BD89" s="42">
        <f t="shared" si="154"/>
        <v>0</v>
      </c>
      <c r="BE89" s="42">
        <f t="shared" si="155"/>
        <v>0</v>
      </c>
      <c r="BF89" s="42">
        <f t="shared" si="156"/>
        <v>0</v>
      </c>
      <c r="BG89" s="42">
        <f t="shared" si="157"/>
        <v>0</v>
      </c>
      <c r="BH89" s="42">
        <f t="shared" si="158"/>
        <v>0</v>
      </c>
      <c r="BI89" s="42">
        <f t="shared" si="159"/>
        <v>0</v>
      </c>
    </row>
    <row r="90" spans="1:61" x14ac:dyDescent="0.25">
      <c r="A90" s="477"/>
      <c r="B90" s="21" t="s">
        <v>141</v>
      </c>
      <c r="C90" s="1" t="str">
        <f t="shared" si="183"/>
        <v>3/4</v>
      </c>
      <c r="D90" s="1" t="str">
        <f>IF(IF((COUNTIF(Professional_Skill_Options,'Skill Workbook'!F90)&gt;0),INDEX(Professional_Skill_Choices,MATCH(F90,Professional_Skill_Options,0)),FALSE),"X","")</f>
        <v/>
      </c>
      <c r="E90" s="1" t="str">
        <f>IF(IF((COUNTIF(Professional_Skill_Options,'Skill Workbook'!F90)&gt;0),INDEX(Professional_Skill_Knacks,MATCH(F90,Professional_Skill_Options,0)),FALSE),"X","")</f>
        <v/>
      </c>
      <c r="F90" t="s">
        <v>143</v>
      </c>
      <c r="G90" s="196"/>
      <c r="H90" s="198"/>
      <c r="I90" s="1" t="s">
        <v>146</v>
      </c>
      <c r="J90" s="1">
        <f>'Base Details'!V108</f>
        <v>0</v>
      </c>
      <c r="AE90" s="1">
        <f>SUM(K90:INDEX(K90:AD90,Level))+J90-IF(H90="",0,1)</f>
        <v>0</v>
      </c>
      <c r="AF90" s="26">
        <f t="shared" si="139"/>
        <v>-25</v>
      </c>
      <c r="AG90" s="26" t="e" cm="1">
        <f t="array" aca="1" ref="AG90" ca="1">IF(I90="NA",0,INDIRECT(LEFT(I90,2))+INDIRECT(MID(I90,4,2))+INDIRECT(RIGHT(I90,2)))</f>
        <v>#N/A</v>
      </c>
      <c r="AH90" s="26">
        <f t="shared" si="27"/>
        <v>0</v>
      </c>
      <c r="AI90" s="26">
        <f t="shared" si="28"/>
        <v>0</v>
      </c>
      <c r="AJ90" s="26"/>
      <c r="AK90" s="26" t="e">
        <f t="shared" ca="1" si="138"/>
        <v>#N/A</v>
      </c>
      <c r="AL90" s="32" t="e">
        <f t="shared" ca="1" si="29"/>
        <v>#N/A</v>
      </c>
      <c r="AP90" s="42">
        <f t="shared" si="140"/>
        <v>0</v>
      </c>
      <c r="AQ90" s="42">
        <f t="shared" si="141"/>
        <v>0</v>
      </c>
      <c r="AR90" s="42">
        <f t="shared" si="142"/>
        <v>0</v>
      </c>
      <c r="AS90" s="42">
        <f t="shared" si="143"/>
        <v>0</v>
      </c>
      <c r="AT90" s="42">
        <f t="shared" si="144"/>
        <v>0</v>
      </c>
      <c r="AU90" s="42">
        <f t="shared" si="145"/>
        <v>0</v>
      </c>
      <c r="AV90" s="42">
        <f t="shared" si="146"/>
        <v>0</v>
      </c>
      <c r="AW90" s="42">
        <f t="shared" si="147"/>
        <v>0</v>
      </c>
      <c r="AX90" s="42">
        <f t="shared" si="148"/>
        <v>0</v>
      </c>
      <c r="AY90" s="42">
        <f t="shared" si="149"/>
        <v>0</v>
      </c>
      <c r="AZ90" s="42">
        <f t="shared" si="150"/>
        <v>0</v>
      </c>
      <c r="BA90" s="42">
        <f t="shared" si="151"/>
        <v>0</v>
      </c>
      <c r="BB90" s="42">
        <f t="shared" si="152"/>
        <v>0</v>
      </c>
      <c r="BC90" s="42">
        <f t="shared" si="153"/>
        <v>0</v>
      </c>
      <c r="BD90" s="42">
        <f t="shared" si="154"/>
        <v>0</v>
      </c>
      <c r="BE90" s="42">
        <f t="shared" si="155"/>
        <v>0</v>
      </c>
      <c r="BF90" s="42">
        <f t="shared" si="156"/>
        <v>0</v>
      </c>
      <c r="BG90" s="42">
        <f t="shared" si="157"/>
        <v>0</v>
      </c>
      <c r="BH90" s="42">
        <f t="shared" si="158"/>
        <v>0</v>
      </c>
      <c r="BI90" s="42">
        <f t="shared" si="159"/>
        <v>0</v>
      </c>
    </row>
    <row r="91" spans="1:61" x14ac:dyDescent="0.25">
      <c r="A91" s="477"/>
      <c r="B91" s="21" t="s">
        <v>141</v>
      </c>
      <c r="C91" s="1" t="str">
        <f t="shared" si="183"/>
        <v>3/4</v>
      </c>
      <c r="D91" s="1" t="str">
        <f>IF(IF((COUNTIF(Professional_Skill_Options,'Skill Workbook'!F91)&gt;0),INDEX(Professional_Skill_Choices,MATCH(F91,Professional_Skill_Options,0)),FALSE),"X","")</f>
        <v/>
      </c>
      <c r="E91" s="1" t="str">
        <f>IF(IF((COUNTIF(Professional_Skill_Options,'Skill Workbook'!F91)&gt;0),INDEX(Professional_Skill_Knacks,MATCH(F91,Professional_Skill_Options,0)),FALSE),"X","")</f>
        <v/>
      </c>
      <c r="F91" t="s">
        <v>144</v>
      </c>
      <c r="G91" s="194" t="str">
        <f>'Base Details'!T109</f>
        <v>Home</v>
      </c>
      <c r="H91" s="195"/>
      <c r="I91" s="1" t="s">
        <v>145</v>
      </c>
      <c r="J91" s="1">
        <f>'Base Details'!V109</f>
        <v>0</v>
      </c>
      <c r="AE91" s="1">
        <f>SUM(K91:INDEX(K91:AD91,Level))+J91-IF(H91="",0,1)</f>
        <v>0</v>
      </c>
      <c r="AF91" s="26">
        <f t="shared" si="139"/>
        <v>-25</v>
      </c>
      <c r="AG91" s="26" t="e" cm="1">
        <f t="array" aca="1" ref="AG91" ca="1">IF(I91="NA",0,INDIRECT(LEFT(I91,2))+INDIRECT(MID(I91,4,2))+INDIRECT(RIGHT(I91,2)))</f>
        <v>#N/A</v>
      </c>
      <c r="AH91" s="26">
        <f t="shared" si="27"/>
        <v>0</v>
      </c>
      <c r="AI91" s="26">
        <f t="shared" si="28"/>
        <v>0</v>
      </c>
      <c r="AJ91" s="26"/>
      <c r="AK91" s="26" t="e">
        <f t="shared" ca="1" si="138"/>
        <v>#N/A</v>
      </c>
      <c r="AL91" s="32" t="e">
        <f t="shared" ca="1" si="29"/>
        <v>#N/A</v>
      </c>
      <c r="AP91" s="42">
        <f t="shared" si="140"/>
        <v>0</v>
      </c>
      <c r="AQ91" s="42">
        <f t="shared" si="141"/>
        <v>0</v>
      </c>
      <c r="AR91" s="42">
        <f t="shared" si="142"/>
        <v>0</v>
      </c>
      <c r="AS91" s="42">
        <f t="shared" si="143"/>
        <v>0</v>
      </c>
      <c r="AT91" s="42">
        <f t="shared" si="144"/>
        <v>0</v>
      </c>
      <c r="AU91" s="42">
        <f t="shared" si="145"/>
        <v>0</v>
      </c>
      <c r="AV91" s="42">
        <f t="shared" si="146"/>
        <v>0</v>
      </c>
      <c r="AW91" s="42">
        <f t="shared" si="147"/>
        <v>0</v>
      </c>
      <c r="AX91" s="42">
        <f t="shared" si="148"/>
        <v>0</v>
      </c>
      <c r="AY91" s="42">
        <f t="shared" si="149"/>
        <v>0</v>
      </c>
      <c r="AZ91" s="42">
        <f t="shared" si="150"/>
        <v>0</v>
      </c>
      <c r="BA91" s="42">
        <f t="shared" si="151"/>
        <v>0</v>
      </c>
      <c r="BB91" s="42">
        <f t="shared" si="152"/>
        <v>0</v>
      </c>
      <c r="BC91" s="42">
        <f t="shared" si="153"/>
        <v>0</v>
      </c>
      <c r="BD91" s="42">
        <f t="shared" si="154"/>
        <v>0</v>
      </c>
      <c r="BE91" s="42">
        <f t="shared" si="155"/>
        <v>0</v>
      </c>
      <c r="BF91" s="42">
        <f t="shared" si="156"/>
        <v>0</v>
      </c>
      <c r="BG91" s="42">
        <f t="shared" si="157"/>
        <v>0</v>
      </c>
      <c r="BH91" s="42">
        <f t="shared" si="158"/>
        <v>0</v>
      </c>
      <c r="BI91" s="42">
        <f t="shared" si="159"/>
        <v>0</v>
      </c>
    </row>
    <row r="92" spans="1:61" x14ac:dyDescent="0.25">
      <c r="A92" s="477"/>
      <c r="B92" s="21" t="s">
        <v>141</v>
      </c>
      <c r="C92" s="1" t="str">
        <f t="shared" si="183"/>
        <v>3/4</v>
      </c>
      <c r="D92" s="1" t="str">
        <f>IF(IF((COUNTIF(Professional_Skill_Options,'Skill Workbook'!F92)&gt;0),INDEX(Professional_Skill_Choices,MATCH(F92,Professional_Skill_Options,0)),FALSE),"X","")</f>
        <v/>
      </c>
      <c r="E92" s="1" t="str">
        <f>IF(IF((COUNTIF(Professional_Skill_Options,'Skill Workbook'!F92)&gt;0),INDEX(Professional_Skill_Knacks,MATCH(F92,Professional_Skill_Options,0)),FALSE),"X","")</f>
        <v/>
      </c>
      <c r="F92" t="s">
        <v>144</v>
      </c>
      <c r="G92" s="194"/>
      <c r="H92" s="195"/>
      <c r="I92" s="1" t="s">
        <v>145</v>
      </c>
      <c r="J92" s="46"/>
      <c r="AE92" s="1">
        <f>SUM(K92:INDEX(K92:AD92,Level))+J92-IF(H92="",0,1)</f>
        <v>0</v>
      </c>
      <c r="AF92" s="26">
        <f t="shared" si="139"/>
        <v>-25</v>
      </c>
      <c r="AG92" s="26" t="e" cm="1">
        <f t="array" aca="1" ref="AG92" ca="1">IF(I92="NA",0,INDIRECT(LEFT(I92,2))+INDIRECT(MID(I92,4,2))+INDIRECT(RIGHT(I92,2)))</f>
        <v>#N/A</v>
      </c>
      <c r="AH92" s="26">
        <f t="shared" si="27"/>
        <v>0</v>
      </c>
      <c r="AI92" s="26">
        <f t="shared" si="28"/>
        <v>0</v>
      </c>
      <c r="AJ92" s="26"/>
      <c r="AK92" s="26" t="e">
        <f t="shared" ca="1" si="138"/>
        <v>#N/A</v>
      </c>
      <c r="AL92" s="32" t="e">
        <f t="shared" ca="1" si="29"/>
        <v>#N/A</v>
      </c>
      <c r="AP92" s="42">
        <f t="shared" si="140"/>
        <v>0</v>
      </c>
      <c r="AQ92" s="42">
        <f t="shared" si="141"/>
        <v>0</v>
      </c>
      <c r="AR92" s="42">
        <f t="shared" si="142"/>
        <v>0</v>
      </c>
      <c r="AS92" s="42">
        <f t="shared" si="143"/>
        <v>0</v>
      </c>
      <c r="AT92" s="42">
        <f t="shared" si="144"/>
        <v>0</v>
      </c>
      <c r="AU92" s="42">
        <f t="shared" si="145"/>
        <v>0</v>
      </c>
      <c r="AV92" s="42">
        <f t="shared" si="146"/>
        <v>0</v>
      </c>
      <c r="AW92" s="42">
        <f t="shared" si="147"/>
        <v>0</v>
      </c>
      <c r="AX92" s="42">
        <f t="shared" si="148"/>
        <v>0</v>
      </c>
      <c r="AY92" s="42">
        <f t="shared" si="149"/>
        <v>0</v>
      </c>
      <c r="AZ92" s="42">
        <f t="shared" si="150"/>
        <v>0</v>
      </c>
      <c r="BA92" s="42">
        <f t="shared" si="151"/>
        <v>0</v>
      </c>
      <c r="BB92" s="42">
        <f t="shared" si="152"/>
        <v>0</v>
      </c>
      <c r="BC92" s="42">
        <f t="shared" si="153"/>
        <v>0</v>
      </c>
      <c r="BD92" s="42">
        <f t="shared" si="154"/>
        <v>0</v>
      </c>
      <c r="BE92" s="42">
        <f t="shared" si="155"/>
        <v>0</v>
      </c>
      <c r="BF92" s="42">
        <f t="shared" si="156"/>
        <v>0</v>
      </c>
      <c r="BG92" s="42">
        <f t="shared" si="157"/>
        <v>0</v>
      </c>
      <c r="BH92" s="42">
        <f t="shared" si="158"/>
        <v>0</v>
      </c>
      <c r="BI92" s="42">
        <f t="shared" si="159"/>
        <v>0</v>
      </c>
    </row>
    <row r="93" spans="1:61" x14ac:dyDescent="0.25">
      <c r="A93" s="477"/>
      <c r="B93" s="21" t="s">
        <v>263</v>
      </c>
      <c r="C93" s="1" t="str">
        <f t="shared" si="183"/>
        <v>3/4</v>
      </c>
      <c r="D93" s="1" t="str">
        <f>IF(IF((COUNTIF(Professional_Skill_Options,'Skill Workbook'!F93)&gt;0),INDEX(Professional_Skill_Choices,MATCH(F93,Professional_Skill_Options,0)),FALSE),"X","")</f>
        <v/>
      </c>
      <c r="E93" s="1" t="str">
        <f>IF(IF((COUNTIF(Professional_Skill_Options,'Skill Workbook'!F93)&gt;0),INDEX(Professional_Skill_Knacks,MATCH(F93,Professional_Skill_Options,0)),FALSE),"X","")</f>
        <v/>
      </c>
      <c r="F93" t="s">
        <v>147</v>
      </c>
      <c r="G93" s="196"/>
      <c r="H93" s="198"/>
      <c r="I93" s="1" t="s">
        <v>150</v>
      </c>
      <c r="J93" s="1">
        <f>'Base Details'!V110</f>
        <v>0</v>
      </c>
      <c r="AE93" s="1">
        <f>SUM(K93:INDEX(K93:AD93,Level))+J93-IF(H93="",0,1)</f>
        <v>0</v>
      </c>
      <c r="AF93" s="26">
        <f t="shared" si="139"/>
        <v>-25</v>
      </c>
      <c r="AG93" s="26" t="e" cm="1">
        <f t="array" aca="1" ref="AG93" ca="1">IF(I93="NA",0,INDIRECT(LEFT(I93,2))+INDIRECT(MID(I93,4,2))+INDIRECT(RIGHT(I93,2)))</f>
        <v>#N/A</v>
      </c>
      <c r="AH93" s="26">
        <f t="shared" si="27"/>
        <v>0</v>
      </c>
      <c r="AI93" s="26">
        <f t="shared" si="28"/>
        <v>0</v>
      </c>
      <c r="AJ93" s="26"/>
      <c r="AK93" s="26" t="e">
        <f t="shared" ca="1" si="138"/>
        <v>#N/A</v>
      </c>
      <c r="AL93" s="32" t="e">
        <f t="shared" ca="1" si="29"/>
        <v>#N/A</v>
      </c>
      <c r="AP93" s="42">
        <f t="shared" si="140"/>
        <v>0</v>
      </c>
      <c r="AQ93" s="42">
        <f t="shared" si="141"/>
        <v>0</v>
      </c>
      <c r="AR93" s="42">
        <f t="shared" si="142"/>
        <v>0</v>
      </c>
      <c r="AS93" s="42">
        <f t="shared" si="143"/>
        <v>0</v>
      </c>
      <c r="AT93" s="42">
        <f t="shared" si="144"/>
        <v>0</v>
      </c>
      <c r="AU93" s="42">
        <f t="shared" si="145"/>
        <v>0</v>
      </c>
      <c r="AV93" s="42">
        <f t="shared" si="146"/>
        <v>0</v>
      </c>
      <c r="AW93" s="42">
        <f t="shared" si="147"/>
        <v>0</v>
      </c>
      <c r="AX93" s="42">
        <f t="shared" si="148"/>
        <v>0</v>
      </c>
      <c r="AY93" s="42">
        <f t="shared" si="149"/>
        <v>0</v>
      </c>
      <c r="AZ93" s="42">
        <f t="shared" si="150"/>
        <v>0</v>
      </c>
      <c r="BA93" s="42">
        <f t="shared" si="151"/>
        <v>0</v>
      </c>
      <c r="BB93" s="42">
        <f t="shared" si="152"/>
        <v>0</v>
      </c>
      <c r="BC93" s="42">
        <f t="shared" si="153"/>
        <v>0</v>
      </c>
      <c r="BD93" s="42">
        <f t="shared" si="154"/>
        <v>0</v>
      </c>
      <c r="BE93" s="42">
        <f t="shared" si="155"/>
        <v>0</v>
      </c>
      <c r="BF93" s="42">
        <f t="shared" si="156"/>
        <v>0</v>
      </c>
      <c r="BG93" s="42">
        <f t="shared" si="157"/>
        <v>0</v>
      </c>
      <c r="BH93" s="42">
        <f t="shared" si="158"/>
        <v>0</v>
      </c>
      <c r="BI93" s="42">
        <f t="shared" si="159"/>
        <v>0</v>
      </c>
    </row>
    <row r="94" spans="1:61" x14ac:dyDescent="0.25">
      <c r="A94" s="477"/>
      <c r="B94" s="21" t="s">
        <v>263</v>
      </c>
      <c r="C94" s="1" t="str">
        <f t="shared" si="183"/>
        <v>3/4</v>
      </c>
      <c r="D94" s="1" t="str">
        <f>IF(IF((COUNTIF(Professional_Skill_Options,'Skill Workbook'!F94)&gt;0),INDEX(Professional_Skill_Choices,MATCH(F94,Professional_Skill_Options,0)),FALSE),"X","")</f>
        <v/>
      </c>
      <c r="E94" s="1" t="str">
        <f>IF(IF((COUNTIF(Professional_Skill_Options,'Skill Workbook'!F94)&gt;0),INDEX(Professional_Skill_Knacks,MATCH(F94,Professional_Skill_Options,0)),FALSE),"X","")</f>
        <v/>
      </c>
      <c r="F94" t="s">
        <v>148</v>
      </c>
      <c r="G94" s="196"/>
      <c r="H94" s="198"/>
      <c r="I94" s="1" t="s">
        <v>151</v>
      </c>
      <c r="J94" s="46"/>
      <c r="AE94" s="1">
        <f>SUM(K94:INDEX(K94:AD94,Level))+J94-IF(H94="",0,1)</f>
        <v>0</v>
      </c>
      <c r="AF94" s="26">
        <f t="shared" si="139"/>
        <v>-25</v>
      </c>
      <c r="AG94" s="26" t="e" cm="1">
        <f t="array" aca="1" ref="AG94" ca="1">IF(I94="NA",0,INDIRECT(LEFT(I94,2))+INDIRECT(MID(I94,4,2))+INDIRECT(RIGHT(I94,2)))</f>
        <v>#N/A</v>
      </c>
      <c r="AH94" s="26">
        <f t="shared" si="27"/>
        <v>0</v>
      </c>
      <c r="AI94" s="26">
        <f t="shared" si="28"/>
        <v>0</v>
      </c>
      <c r="AJ94" s="26"/>
      <c r="AK94" s="26" t="e">
        <f t="shared" ca="1" si="138"/>
        <v>#N/A</v>
      </c>
      <c r="AL94" s="32" t="e">
        <f t="shared" ca="1" si="29"/>
        <v>#N/A</v>
      </c>
      <c r="AP94" s="42">
        <f t="shared" si="140"/>
        <v>0</v>
      </c>
      <c r="AQ94" s="42">
        <f t="shared" si="141"/>
        <v>0</v>
      </c>
      <c r="AR94" s="42">
        <f t="shared" si="142"/>
        <v>0</v>
      </c>
      <c r="AS94" s="42">
        <f t="shared" si="143"/>
        <v>0</v>
      </c>
      <c r="AT94" s="42">
        <f t="shared" si="144"/>
        <v>0</v>
      </c>
      <c r="AU94" s="42">
        <f t="shared" si="145"/>
        <v>0</v>
      </c>
      <c r="AV94" s="42">
        <f t="shared" si="146"/>
        <v>0</v>
      </c>
      <c r="AW94" s="42">
        <f t="shared" si="147"/>
        <v>0</v>
      </c>
      <c r="AX94" s="42">
        <f t="shared" si="148"/>
        <v>0</v>
      </c>
      <c r="AY94" s="42">
        <f t="shared" si="149"/>
        <v>0</v>
      </c>
      <c r="AZ94" s="42">
        <f t="shared" si="150"/>
        <v>0</v>
      </c>
      <c r="BA94" s="42">
        <f t="shared" si="151"/>
        <v>0</v>
      </c>
      <c r="BB94" s="42">
        <f t="shared" si="152"/>
        <v>0</v>
      </c>
      <c r="BC94" s="42">
        <f t="shared" si="153"/>
        <v>0</v>
      </c>
      <c r="BD94" s="42">
        <f t="shared" si="154"/>
        <v>0</v>
      </c>
      <c r="BE94" s="42">
        <f t="shared" si="155"/>
        <v>0</v>
      </c>
      <c r="BF94" s="42">
        <f t="shared" si="156"/>
        <v>0</v>
      </c>
      <c r="BG94" s="42">
        <f t="shared" si="157"/>
        <v>0</v>
      </c>
      <c r="BH94" s="42">
        <f t="shared" si="158"/>
        <v>0</v>
      </c>
      <c r="BI94" s="42">
        <f t="shared" si="159"/>
        <v>0</v>
      </c>
    </row>
    <row r="95" spans="1:61" x14ac:dyDescent="0.25">
      <c r="A95" s="477"/>
      <c r="B95" s="21" t="s">
        <v>263</v>
      </c>
      <c r="C95" s="1" t="str">
        <f t="shared" si="183"/>
        <v>3/4</v>
      </c>
      <c r="D95" s="1" t="str">
        <f>IF(IF((COUNTIF(Professional_Skill_Options,'Skill Workbook'!F95)&gt;0),INDEX(Professional_Skill_Choices,MATCH(F95,Professional_Skill_Options,0)),FALSE),"X","")</f>
        <v/>
      </c>
      <c r="E95" s="1" t="str">
        <f>IF(IF((COUNTIF(Professional_Skill_Options,'Skill Workbook'!F95)&gt;0),INDEX(Professional_Skill_Knacks,MATCH(F95,Professional_Skill_Options,0)),FALSE),"X","")</f>
        <v/>
      </c>
      <c r="F95" t="s">
        <v>149</v>
      </c>
      <c r="G95" s="196"/>
      <c r="H95" s="198"/>
      <c r="I95" s="1" t="s">
        <v>150</v>
      </c>
      <c r="J95" s="1">
        <f>'Base Details'!V111</f>
        <v>0</v>
      </c>
      <c r="AE95" s="1">
        <f>SUM(K95:INDEX(K95:AD95,Level))+J95-IF(H95="",0,1)</f>
        <v>0</v>
      </c>
      <c r="AF95" s="26">
        <f t="shared" si="139"/>
        <v>-25</v>
      </c>
      <c r="AG95" s="26" t="e" cm="1">
        <f t="array" aca="1" ref="AG95" ca="1">IF(I95="NA",0,INDIRECT(LEFT(I95,2))+INDIRECT(MID(I95,4,2))+INDIRECT(RIGHT(I95,2)))</f>
        <v>#N/A</v>
      </c>
      <c r="AH95" s="26">
        <f t="shared" si="27"/>
        <v>0</v>
      </c>
      <c r="AI95" s="26">
        <f t="shared" si="28"/>
        <v>0</v>
      </c>
      <c r="AJ95" s="26"/>
      <c r="AK95" s="26" t="e">
        <f t="shared" ca="1" si="138"/>
        <v>#N/A</v>
      </c>
      <c r="AL95" s="32" t="e">
        <f t="shared" ca="1" si="29"/>
        <v>#N/A</v>
      </c>
      <c r="AP95" s="42">
        <f t="shared" si="140"/>
        <v>0</v>
      </c>
      <c r="AQ95" s="42">
        <f t="shared" si="141"/>
        <v>0</v>
      </c>
      <c r="AR95" s="42">
        <f t="shared" si="142"/>
        <v>0</v>
      </c>
      <c r="AS95" s="42">
        <f t="shared" si="143"/>
        <v>0</v>
      </c>
      <c r="AT95" s="42">
        <f t="shared" si="144"/>
        <v>0</v>
      </c>
      <c r="AU95" s="42">
        <f t="shared" si="145"/>
        <v>0</v>
      </c>
      <c r="AV95" s="42">
        <f t="shared" si="146"/>
        <v>0</v>
      </c>
      <c r="AW95" s="42">
        <f t="shared" si="147"/>
        <v>0</v>
      </c>
      <c r="AX95" s="42">
        <f t="shared" si="148"/>
        <v>0</v>
      </c>
      <c r="AY95" s="42">
        <f t="shared" si="149"/>
        <v>0</v>
      </c>
      <c r="AZ95" s="42">
        <f t="shared" si="150"/>
        <v>0</v>
      </c>
      <c r="BA95" s="42">
        <f t="shared" si="151"/>
        <v>0</v>
      </c>
      <c r="BB95" s="42">
        <f t="shared" si="152"/>
        <v>0</v>
      </c>
      <c r="BC95" s="42">
        <f t="shared" si="153"/>
        <v>0</v>
      </c>
      <c r="BD95" s="42">
        <f t="shared" si="154"/>
        <v>0</v>
      </c>
      <c r="BE95" s="42">
        <f t="shared" si="155"/>
        <v>0</v>
      </c>
      <c r="BF95" s="42">
        <f t="shared" si="156"/>
        <v>0</v>
      </c>
      <c r="BG95" s="42">
        <f t="shared" si="157"/>
        <v>0</v>
      </c>
      <c r="BH95" s="42">
        <f t="shared" si="158"/>
        <v>0</v>
      </c>
      <c r="BI95" s="42">
        <f t="shared" si="159"/>
        <v>0</v>
      </c>
    </row>
    <row r="96" spans="1:61" x14ac:dyDescent="0.25">
      <c r="A96" s="477"/>
      <c r="B96" s="21" t="s">
        <v>152</v>
      </c>
      <c r="C96" s="1" t="str">
        <f t="shared" si="183"/>
        <v>1/3</v>
      </c>
      <c r="D96" s="1" t="str">
        <f>IF(IF((COUNTIF(Professional_Skill_Options,'Skill Workbook'!F96)&gt;0),INDEX(Professional_Skill_Choices,MATCH(F96,Professional_Skill_Options,0)),FALSE),"X","")</f>
        <v/>
      </c>
      <c r="E96" s="1" t="str">
        <f>IF(IF((COUNTIF(Professional_Skill_Options,'Skill Workbook'!F96)&gt;0),INDEX(Professional_Skill_Knacks,MATCH(F96,Professional_Skill_Options,0)),FALSE),"X","")</f>
        <v/>
      </c>
      <c r="F96" t="s">
        <v>153</v>
      </c>
      <c r="G96" s="196"/>
      <c r="H96" s="198"/>
      <c r="I96" s="1" t="s">
        <v>160</v>
      </c>
      <c r="J96" s="1">
        <f>'Base Details'!J133</f>
        <v>0</v>
      </c>
      <c r="AE96" s="1">
        <f>SUM(K96:INDEX(K96:AD96,Level))+J96-IF(H96="",0,1)</f>
        <v>0</v>
      </c>
      <c r="AF96" s="26">
        <f t="shared" si="139"/>
        <v>-25</v>
      </c>
      <c r="AG96" s="26" t="e" cm="1">
        <f t="array" aca="1" ref="AG96" ca="1">IF(I96="NA",0,INDIRECT(LEFT(I96,2))+INDIRECT(MID(I96,4,2))+INDIRECT(RIGHT(I96,2)))</f>
        <v>#N/A</v>
      </c>
      <c r="AH96" s="26">
        <f t="shared" si="27"/>
        <v>0</v>
      </c>
      <c r="AI96" s="26">
        <f t="shared" si="28"/>
        <v>0</v>
      </c>
      <c r="AJ96" s="26"/>
      <c r="AK96" s="26" t="e">
        <f t="shared" ca="1" si="138"/>
        <v>#N/A</v>
      </c>
      <c r="AL96" s="32" t="e">
        <f t="shared" ca="1" si="29"/>
        <v>#N/A</v>
      </c>
      <c r="AP96" s="42">
        <f t="shared" si="140"/>
        <v>0</v>
      </c>
      <c r="AQ96" s="42">
        <f t="shared" si="141"/>
        <v>0</v>
      </c>
      <c r="AR96" s="42">
        <f t="shared" si="142"/>
        <v>0</v>
      </c>
      <c r="AS96" s="42">
        <f t="shared" si="143"/>
        <v>0</v>
      </c>
      <c r="AT96" s="42">
        <f t="shared" si="144"/>
        <v>0</v>
      </c>
      <c r="AU96" s="42">
        <f t="shared" si="145"/>
        <v>0</v>
      </c>
      <c r="AV96" s="42">
        <f t="shared" si="146"/>
        <v>0</v>
      </c>
      <c r="AW96" s="42">
        <f t="shared" si="147"/>
        <v>0</v>
      </c>
      <c r="AX96" s="42">
        <f t="shared" si="148"/>
        <v>0</v>
      </c>
      <c r="AY96" s="42">
        <f t="shared" si="149"/>
        <v>0</v>
      </c>
      <c r="AZ96" s="42">
        <f t="shared" si="150"/>
        <v>0</v>
      </c>
      <c r="BA96" s="42">
        <f t="shared" si="151"/>
        <v>0</v>
      </c>
      <c r="BB96" s="42">
        <f t="shared" si="152"/>
        <v>0</v>
      </c>
      <c r="BC96" s="42">
        <f t="shared" si="153"/>
        <v>0</v>
      </c>
      <c r="BD96" s="42">
        <f t="shared" si="154"/>
        <v>0</v>
      </c>
      <c r="BE96" s="42">
        <f t="shared" si="155"/>
        <v>0</v>
      </c>
      <c r="BF96" s="42">
        <f t="shared" si="156"/>
        <v>0</v>
      </c>
      <c r="BG96" s="42">
        <f t="shared" si="157"/>
        <v>0</v>
      </c>
      <c r="BH96" s="42">
        <f t="shared" si="158"/>
        <v>0</v>
      </c>
      <c r="BI96" s="42">
        <f t="shared" si="159"/>
        <v>0</v>
      </c>
    </row>
    <row r="97" spans="1:61" x14ac:dyDescent="0.25">
      <c r="A97" s="477"/>
      <c r="B97" s="21" t="s">
        <v>152</v>
      </c>
      <c r="C97" s="1" t="str">
        <f t="shared" si="183"/>
        <v>1/3</v>
      </c>
      <c r="D97" s="1" t="str">
        <f>IF(IF((COUNTIF(Professional_Skill_Options,'Skill Workbook'!F97)&gt;0),INDEX(Professional_Skill_Choices,MATCH(F97,Professional_Skill_Options,0)),FALSE),"X","")</f>
        <v/>
      </c>
      <c r="E97" s="1" t="str">
        <f>IF(IF((COUNTIF(Professional_Skill_Options,'Skill Workbook'!F97)&gt;0),INDEX(Professional_Skill_Knacks,MATCH(F97,Professional_Skill_Options,0)),FALSE),"X","")</f>
        <v/>
      </c>
      <c r="F97" t="s">
        <v>154</v>
      </c>
      <c r="G97" s="196"/>
      <c r="H97" s="198"/>
      <c r="I97" s="1" t="s">
        <v>160</v>
      </c>
      <c r="J97" s="1">
        <f>'Base Details'!J134</f>
        <v>0</v>
      </c>
      <c r="AE97" s="1">
        <f>SUM(K97:INDEX(K97:AD97,Level))+J97-IF(H97="",0,1)</f>
        <v>0</v>
      </c>
      <c r="AF97" s="26">
        <f t="shared" si="139"/>
        <v>-25</v>
      </c>
      <c r="AG97" s="26" t="e" cm="1">
        <f t="array" aca="1" ref="AG97" ca="1">IF(I97="NA",0,INDIRECT(LEFT(I97,2))+INDIRECT(MID(I97,4,2))+INDIRECT(RIGHT(I97,2)))</f>
        <v>#N/A</v>
      </c>
      <c r="AH97" s="26">
        <f t="shared" si="27"/>
        <v>0</v>
      </c>
      <c r="AI97" s="26">
        <f t="shared" si="28"/>
        <v>0</v>
      </c>
      <c r="AJ97" s="26"/>
      <c r="AK97" s="26" t="e">
        <f t="shared" ca="1" si="138"/>
        <v>#N/A</v>
      </c>
      <c r="AL97" s="32" t="e">
        <f t="shared" ca="1" si="29"/>
        <v>#N/A</v>
      </c>
      <c r="AP97" s="42">
        <f t="shared" si="140"/>
        <v>0</v>
      </c>
      <c r="AQ97" s="42">
        <f t="shared" si="141"/>
        <v>0</v>
      </c>
      <c r="AR97" s="42">
        <f t="shared" si="142"/>
        <v>0</v>
      </c>
      <c r="AS97" s="42">
        <f t="shared" si="143"/>
        <v>0</v>
      </c>
      <c r="AT97" s="42">
        <f t="shared" si="144"/>
        <v>0</v>
      </c>
      <c r="AU97" s="42">
        <f t="shared" si="145"/>
        <v>0</v>
      </c>
      <c r="AV97" s="42">
        <f t="shared" si="146"/>
        <v>0</v>
      </c>
      <c r="AW97" s="42">
        <f t="shared" si="147"/>
        <v>0</v>
      </c>
      <c r="AX97" s="42">
        <f t="shared" si="148"/>
        <v>0</v>
      </c>
      <c r="AY97" s="42">
        <f t="shared" si="149"/>
        <v>0</v>
      </c>
      <c r="AZ97" s="42">
        <f t="shared" si="150"/>
        <v>0</v>
      </c>
      <c r="BA97" s="42">
        <f t="shared" si="151"/>
        <v>0</v>
      </c>
      <c r="BB97" s="42">
        <f t="shared" si="152"/>
        <v>0</v>
      </c>
      <c r="BC97" s="42">
        <f t="shared" si="153"/>
        <v>0</v>
      </c>
      <c r="BD97" s="42">
        <f t="shared" si="154"/>
        <v>0</v>
      </c>
      <c r="BE97" s="42">
        <f t="shared" si="155"/>
        <v>0</v>
      </c>
      <c r="BF97" s="42">
        <f t="shared" si="156"/>
        <v>0</v>
      </c>
      <c r="BG97" s="42">
        <f t="shared" si="157"/>
        <v>0</v>
      </c>
      <c r="BH97" s="42">
        <f t="shared" si="158"/>
        <v>0</v>
      </c>
      <c r="BI97" s="42">
        <f t="shared" si="159"/>
        <v>0</v>
      </c>
    </row>
    <row r="98" spans="1:61" x14ac:dyDescent="0.25">
      <c r="A98" s="477"/>
      <c r="B98" s="21" t="s">
        <v>152</v>
      </c>
      <c r="C98" s="1" t="str">
        <f t="shared" si="183"/>
        <v>1/3</v>
      </c>
      <c r="D98" s="1" t="str">
        <f>IF(IF((COUNTIF(Professional_Skill_Options,'Skill Workbook'!F98)&gt;0),INDEX(Professional_Skill_Choices,MATCH(F98,Professional_Skill_Options,0)),FALSE),"X","")</f>
        <v/>
      </c>
      <c r="E98" s="1" t="str">
        <f>IF(IF((COUNTIF(Professional_Skill_Options,'Skill Workbook'!F98)&gt;0),INDEX(Professional_Skill_Knacks,MATCH(F98,Professional_Skill_Options,0)),FALSE),"X","")</f>
        <v/>
      </c>
      <c r="F98" t="s">
        <v>155</v>
      </c>
      <c r="G98" s="196"/>
      <c r="H98" s="198"/>
      <c r="I98" s="1" t="s">
        <v>160</v>
      </c>
      <c r="J98" s="1">
        <f>'Base Details'!J135</f>
        <v>0</v>
      </c>
      <c r="AE98" s="1">
        <f>SUM(K98:INDEX(K98:AD98,Level))+J98-IF(H98="",0,1)</f>
        <v>0</v>
      </c>
      <c r="AF98" s="26">
        <f t="shared" si="139"/>
        <v>-25</v>
      </c>
      <c r="AG98" s="26" t="e" cm="1">
        <f t="array" aca="1" ref="AG98" ca="1">IF(I98="NA",0,INDIRECT(LEFT(I98,2))+INDIRECT(MID(I98,4,2))+INDIRECT(RIGHT(I98,2)))</f>
        <v>#N/A</v>
      </c>
      <c r="AH98" s="26">
        <f t="shared" si="27"/>
        <v>0</v>
      </c>
      <c r="AI98" s="26">
        <f t="shared" si="28"/>
        <v>0</v>
      </c>
      <c r="AJ98" s="26"/>
      <c r="AK98" s="26" t="e">
        <f t="shared" ca="1" si="138"/>
        <v>#N/A</v>
      </c>
      <c r="AL98" s="32" t="e">
        <f t="shared" ca="1" si="29"/>
        <v>#N/A</v>
      </c>
      <c r="AP98" s="42">
        <f t="shared" si="140"/>
        <v>0</v>
      </c>
      <c r="AQ98" s="42">
        <f t="shared" si="141"/>
        <v>0</v>
      </c>
      <c r="AR98" s="42">
        <f t="shared" si="142"/>
        <v>0</v>
      </c>
      <c r="AS98" s="42">
        <f t="shared" si="143"/>
        <v>0</v>
      </c>
      <c r="AT98" s="42">
        <f t="shared" si="144"/>
        <v>0</v>
      </c>
      <c r="AU98" s="42">
        <f t="shared" si="145"/>
        <v>0</v>
      </c>
      <c r="AV98" s="42">
        <f t="shared" si="146"/>
        <v>0</v>
      </c>
      <c r="AW98" s="42">
        <f t="shared" si="147"/>
        <v>0</v>
      </c>
      <c r="AX98" s="42">
        <f t="shared" si="148"/>
        <v>0</v>
      </c>
      <c r="AY98" s="42">
        <f t="shared" si="149"/>
        <v>0</v>
      </c>
      <c r="AZ98" s="42">
        <f t="shared" si="150"/>
        <v>0</v>
      </c>
      <c r="BA98" s="42">
        <f t="shared" si="151"/>
        <v>0</v>
      </c>
      <c r="BB98" s="42">
        <f t="shared" si="152"/>
        <v>0</v>
      </c>
      <c r="BC98" s="42">
        <f t="shared" si="153"/>
        <v>0</v>
      </c>
      <c r="BD98" s="42">
        <f t="shared" si="154"/>
        <v>0</v>
      </c>
      <c r="BE98" s="42">
        <f t="shared" si="155"/>
        <v>0</v>
      </c>
      <c r="BF98" s="42">
        <f t="shared" si="156"/>
        <v>0</v>
      </c>
      <c r="BG98" s="42">
        <f t="shared" si="157"/>
        <v>0</v>
      </c>
      <c r="BH98" s="42">
        <f t="shared" si="158"/>
        <v>0</v>
      </c>
      <c r="BI98" s="42">
        <f t="shared" si="159"/>
        <v>0</v>
      </c>
    </row>
    <row r="99" spans="1:61" x14ac:dyDescent="0.25">
      <c r="A99" s="477"/>
      <c r="B99" s="21" t="s">
        <v>152</v>
      </c>
      <c r="C99" s="1" t="str">
        <f t="shared" si="183"/>
        <v>1/3</v>
      </c>
      <c r="D99" s="1" t="str">
        <f>IF(IF((COUNTIF(Professional_Skill_Options,'Skill Workbook'!F99)&gt;0),INDEX(Professional_Skill_Choices,MATCH(F99,Professional_Skill_Options,0)),FALSE),"X","")</f>
        <v/>
      </c>
      <c r="E99" s="1" t="str">
        <f>IF(IF((COUNTIF(Professional_Skill_Options,'Skill Workbook'!F99)&gt;0),INDEX(Professional_Skill_Knacks,MATCH(F99,Professional_Skill_Options,0)),FALSE),"X","")</f>
        <v/>
      </c>
      <c r="F99" t="s">
        <v>156</v>
      </c>
      <c r="G99" s="194" t="str">
        <f>'Base Details'!O136</f>
        <v>Society 1</v>
      </c>
      <c r="H99" s="195"/>
      <c r="I99" s="1" t="s">
        <v>160</v>
      </c>
      <c r="J99" s="1">
        <f>'Base Details'!J136</f>
        <v>0</v>
      </c>
      <c r="AE99" s="1">
        <f>SUM(K99:INDEX(K99:AD99,Level))+J99-IF(H99="",0,1)</f>
        <v>0</v>
      </c>
      <c r="AF99" s="26">
        <f t="shared" si="139"/>
        <v>-25</v>
      </c>
      <c r="AG99" s="26" t="e" cm="1">
        <f t="array" aca="1" ref="AG99" ca="1">IF(I99="NA",0,INDIRECT(LEFT(I99,2))+INDIRECT(MID(I99,4,2))+INDIRECT(RIGHT(I99,2)))</f>
        <v>#N/A</v>
      </c>
      <c r="AH99" s="26">
        <f t="shared" si="27"/>
        <v>0</v>
      </c>
      <c r="AI99" s="26">
        <f t="shared" si="28"/>
        <v>0</v>
      </c>
      <c r="AJ99" s="26"/>
      <c r="AK99" s="26" t="e">
        <f t="shared" ca="1" si="138"/>
        <v>#N/A</v>
      </c>
      <c r="AL99" s="32" t="e">
        <f t="shared" ref="AL99:AL162" ca="1" si="184">ROUND(SUM(AF99:AJ99),0)</f>
        <v>#N/A</v>
      </c>
      <c r="AP99" s="42">
        <f t="shared" si="140"/>
        <v>0</v>
      </c>
      <c r="AQ99" s="42">
        <f t="shared" si="141"/>
        <v>0</v>
      </c>
      <c r="AR99" s="42">
        <f t="shared" si="142"/>
        <v>0</v>
      </c>
      <c r="AS99" s="42">
        <f t="shared" si="143"/>
        <v>0</v>
      </c>
      <c r="AT99" s="42">
        <f t="shared" si="144"/>
        <v>0</v>
      </c>
      <c r="AU99" s="42">
        <f t="shared" si="145"/>
        <v>0</v>
      </c>
      <c r="AV99" s="42">
        <f t="shared" si="146"/>
        <v>0</v>
      </c>
      <c r="AW99" s="42">
        <f t="shared" si="147"/>
        <v>0</v>
      </c>
      <c r="AX99" s="42">
        <f t="shared" si="148"/>
        <v>0</v>
      </c>
      <c r="AY99" s="42">
        <f t="shared" si="149"/>
        <v>0</v>
      </c>
      <c r="AZ99" s="42">
        <f t="shared" si="150"/>
        <v>0</v>
      </c>
      <c r="BA99" s="42">
        <f t="shared" si="151"/>
        <v>0</v>
      </c>
      <c r="BB99" s="42">
        <f t="shared" si="152"/>
        <v>0</v>
      </c>
      <c r="BC99" s="42">
        <f t="shared" si="153"/>
        <v>0</v>
      </c>
      <c r="BD99" s="42">
        <f t="shared" si="154"/>
        <v>0</v>
      </c>
      <c r="BE99" s="42">
        <f t="shared" si="155"/>
        <v>0</v>
      </c>
      <c r="BF99" s="42">
        <f t="shared" si="156"/>
        <v>0</v>
      </c>
      <c r="BG99" s="42">
        <f t="shared" si="157"/>
        <v>0</v>
      </c>
      <c r="BH99" s="42">
        <f t="shared" si="158"/>
        <v>0</v>
      </c>
      <c r="BI99" s="42">
        <f t="shared" si="159"/>
        <v>0</v>
      </c>
    </row>
    <row r="100" spans="1:61" x14ac:dyDescent="0.25">
      <c r="A100" s="477"/>
      <c r="B100" s="21" t="s">
        <v>152</v>
      </c>
      <c r="C100" s="1" t="str">
        <f t="shared" si="183"/>
        <v>1/3</v>
      </c>
      <c r="D100" s="1" t="str">
        <f>IF(IF((COUNTIF(Professional_Skill_Options,'Skill Workbook'!F100)&gt;0),INDEX(Professional_Skill_Choices,MATCH(F100,Professional_Skill_Options,0)),FALSE),"X","")</f>
        <v/>
      </c>
      <c r="E100" s="1" t="str">
        <f>IF(IF((COUNTIF(Professional_Skill_Options,'Skill Workbook'!F100)&gt;0),INDEX(Professional_Skill_Knacks,MATCH(F100,Professional_Skill_Options,0)),FALSE),"X","")</f>
        <v/>
      </c>
      <c r="F100" t="s">
        <v>156</v>
      </c>
      <c r="G100" s="194" t="str">
        <f>'Base Details'!O137</f>
        <v>Society 2</v>
      </c>
      <c r="H100" s="195"/>
      <c r="I100" s="1" t="s">
        <v>160</v>
      </c>
      <c r="J100" s="1">
        <f>'Base Details'!J137</f>
        <v>0</v>
      </c>
      <c r="AE100" s="1">
        <f>SUM(K100:INDEX(K100:AD100,Level))+J100-IF(H100="",0,1)</f>
        <v>0</v>
      </c>
      <c r="AF100" s="26">
        <f t="shared" si="139"/>
        <v>-25</v>
      </c>
      <c r="AG100" s="26" t="e" cm="1">
        <f t="array" aca="1" ref="AG100" ca="1">IF(I100="NA",0,INDIRECT(LEFT(I100,2))+INDIRECT(MID(I100,4,2))+INDIRECT(RIGHT(I100,2)))</f>
        <v>#N/A</v>
      </c>
      <c r="AH100" s="26">
        <f t="shared" si="27"/>
        <v>0</v>
      </c>
      <c r="AI100" s="26">
        <f t="shared" si="28"/>
        <v>0</v>
      </c>
      <c r="AJ100" s="26"/>
      <c r="AK100" s="26" t="e">
        <f t="shared" ca="1" si="138"/>
        <v>#N/A</v>
      </c>
      <c r="AL100" s="32" t="e">
        <f t="shared" ca="1" si="184"/>
        <v>#N/A</v>
      </c>
      <c r="AP100" s="42">
        <f t="shared" si="140"/>
        <v>0</v>
      </c>
      <c r="AQ100" s="42">
        <f t="shared" si="141"/>
        <v>0</v>
      </c>
      <c r="AR100" s="42">
        <f t="shared" si="142"/>
        <v>0</v>
      </c>
      <c r="AS100" s="42">
        <f t="shared" si="143"/>
        <v>0</v>
      </c>
      <c r="AT100" s="42">
        <f t="shared" si="144"/>
        <v>0</v>
      </c>
      <c r="AU100" s="42">
        <f t="shared" si="145"/>
        <v>0</v>
      </c>
      <c r="AV100" s="42">
        <f t="shared" si="146"/>
        <v>0</v>
      </c>
      <c r="AW100" s="42">
        <f t="shared" si="147"/>
        <v>0</v>
      </c>
      <c r="AX100" s="42">
        <f t="shared" si="148"/>
        <v>0</v>
      </c>
      <c r="AY100" s="42">
        <f t="shared" si="149"/>
        <v>0</v>
      </c>
      <c r="AZ100" s="42">
        <f t="shared" si="150"/>
        <v>0</v>
      </c>
      <c r="BA100" s="42">
        <f t="shared" si="151"/>
        <v>0</v>
      </c>
      <c r="BB100" s="42">
        <f t="shared" si="152"/>
        <v>0</v>
      </c>
      <c r="BC100" s="42">
        <f t="shared" si="153"/>
        <v>0</v>
      </c>
      <c r="BD100" s="42">
        <f t="shared" si="154"/>
        <v>0</v>
      </c>
      <c r="BE100" s="42">
        <f t="shared" si="155"/>
        <v>0</v>
      </c>
      <c r="BF100" s="42">
        <f t="shared" si="156"/>
        <v>0</v>
      </c>
      <c r="BG100" s="42">
        <f t="shared" si="157"/>
        <v>0</v>
      </c>
      <c r="BH100" s="42">
        <f t="shared" si="158"/>
        <v>0</v>
      </c>
      <c r="BI100" s="42">
        <f t="shared" si="159"/>
        <v>0</v>
      </c>
    </row>
    <row r="101" spans="1:61" x14ac:dyDescent="0.25">
      <c r="A101" s="477"/>
      <c r="B101" s="21" t="s">
        <v>152</v>
      </c>
      <c r="C101" s="1" t="str">
        <f t="shared" si="183"/>
        <v>1/3</v>
      </c>
      <c r="D101" s="1" t="str">
        <f>IF(IF((COUNTIF(Professional_Skill_Options,'Skill Workbook'!F101)&gt;0),INDEX(Professional_Skill_Choices,MATCH(F101,Professional_Skill_Options,0)),FALSE),"X","")</f>
        <v/>
      </c>
      <c r="E101" s="1" t="str">
        <f>IF(IF((COUNTIF(Professional_Skill_Options,'Skill Workbook'!F101)&gt;0),INDEX(Professional_Skill_Knacks,MATCH(F101,Professional_Skill_Options,0)),FALSE),"X","")</f>
        <v/>
      </c>
      <c r="F101" t="s">
        <v>156</v>
      </c>
      <c r="G101" s="194" t="str">
        <f>'Base Details'!O138</f>
        <v>Society 3</v>
      </c>
      <c r="H101" s="195"/>
      <c r="I101" s="1" t="s">
        <v>160</v>
      </c>
      <c r="J101" s="1">
        <f>'Base Details'!J138</f>
        <v>0</v>
      </c>
      <c r="AE101" s="1">
        <f>SUM(K101:INDEX(K101:AD101,Level))+J101-IF(H101="",0,1)</f>
        <v>0</v>
      </c>
      <c r="AF101" s="26">
        <f t="shared" ref="AF101" si="185">IF(AE101&gt;30,100+AE101,VLOOKUP(AE101,Rank_Bonus,2,FALSE))</f>
        <v>-25</v>
      </c>
      <c r="AG101" s="26" t="e" cm="1">
        <f t="array" aca="1" ref="AG101" ca="1">IF(I101="NA",0,INDIRECT(LEFT(I101,2))+INDIRECT(MID(I101,4,2))+INDIRECT(RIGHT(I101,2)))</f>
        <v>#N/A</v>
      </c>
      <c r="AH101" s="26">
        <f t="shared" ref="AH101" si="186">IF(D101="X",MIN(30,AE101),0)</f>
        <v>0</v>
      </c>
      <c r="AI101" s="26">
        <f t="shared" ref="AI101" si="187">IF(E101="X",5,0)</f>
        <v>0</v>
      </c>
      <c r="AJ101" s="26"/>
      <c r="AK101" s="26" t="e">
        <f t="shared" ca="1" si="138"/>
        <v>#N/A</v>
      </c>
      <c r="AL101" s="32" t="e">
        <f t="shared" ca="1" si="184"/>
        <v>#N/A</v>
      </c>
      <c r="AP101" s="42">
        <f t="shared" ref="AP101" si="188">_xlfn.NUMBERVALUE(IF(K101=0,0,IF(K101=1,LEFT($C101,FIND("/",$C101)-1),SUM(LEFT($C101,FIND("/",$C101)-1),RIGHT($C101,LEN($C101)-FIND("/",$C101))))))</f>
        <v>0</v>
      </c>
      <c r="AQ101" s="42">
        <f t="shared" ref="AQ101" si="189">_xlfn.NUMBERVALUE(IF(L101=0,0,IF(L101=1,LEFT($C101,FIND("/",$C101)-1),SUM(LEFT($C101,FIND("/",$C101)-1),RIGHT($C101,LEN($C101)-FIND("/",$C101))))))</f>
        <v>0</v>
      </c>
      <c r="AR101" s="42">
        <f t="shared" ref="AR101" si="190">_xlfn.NUMBERVALUE(IF(M101=0,0,IF(M101=1,LEFT($C101,FIND("/",$C101)-1),SUM(LEFT($C101,FIND("/",$C101)-1),RIGHT($C101,LEN($C101)-FIND("/",$C101))))))</f>
        <v>0</v>
      </c>
      <c r="AS101" s="42">
        <f t="shared" ref="AS101" si="191">_xlfn.NUMBERVALUE(IF(N101=0,0,IF(N101=1,LEFT($C101,FIND("/",$C101)-1),SUM(LEFT($C101,FIND("/",$C101)-1),RIGHT($C101,LEN($C101)-FIND("/",$C101))))))</f>
        <v>0</v>
      </c>
      <c r="AT101" s="42">
        <f t="shared" ref="AT101" si="192">_xlfn.NUMBERVALUE(IF(O101=0,0,IF(O101=1,LEFT($C101,FIND("/",$C101)-1),SUM(LEFT($C101,FIND("/",$C101)-1),RIGHT($C101,LEN($C101)-FIND("/",$C101))))))</f>
        <v>0</v>
      </c>
      <c r="AU101" s="42">
        <f t="shared" ref="AU101" si="193">_xlfn.NUMBERVALUE(IF(P101=0,0,IF(P101=1,LEFT($C101,FIND("/",$C101)-1),SUM(LEFT($C101,FIND("/",$C101)-1),RIGHT($C101,LEN($C101)-FIND("/",$C101))))))</f>
        <v>0</v>
      </c>
      <c r="AV101" s="42">
        <f t="shared" ref="AV101" si="194">_xlfn.NUMBERVALUE(IF(Q101=0,0,IF(Q101=1,LEFT($C101,FIND("/",$C101)-1),SUM(LEFT($C101,FIND("/",$C101)-1),RIGHT($C101,LEN($C101)-FIND("/",$C101))))))</f>
        <v>0</v>
      </c>
      <c r="AW101" s="42">
        <f t="shared" ref="AW101" si="195">_xlfn.NUMBERVALUE(IF(R101=0,0,IF(R101=1,LEFT($C101,FIND("/",$C101)-1),SUM(LEFT($C101,FIND("/",$C101)-1),RIGHT($C101,LEN($C101)-FIND("/",$C101))))))</f>
        <v>0</v>
      </c>
      <c r="AX101" s="42">
        <f t="shared" ref="AX101" si="196">_xlfn.NUMBERVALUE(IF(S101=0,0,IF(S101=1,LEFT($C101,FIND("/",$C101)-1),SUM(LEFT($C101,FIND("/",$C101)-1),RIGHT($C101,LEN($C101)-FIND("/",$C101))))))</f>
        <v>0</v>
      </c>
      <c r="AY101" s="42">
        <f t="shared" ref="AY101" si="197">_xlfn.NUMBERVALUE(IF(T101=0,0,IF(T101=1,LEFT($C101,FIND("/",$C101)-1),SUM(LEFT($C101,FIND("/",$C101)-1),RIGHT($C101,LEN($C101)-FIND("/",$C101))))))</f>
        <v>0</v>
      </c>
      <c r="AZ101" s="42">
        <f t="shared" ref="AZ101" si="198">_xlfn.NUMBERVALUE(IF(U101=0,0,IF(U101=1,LEFT($C101,FIND("/",$C101)-1),SUM(LEFT($C101,FIND("/",$C101)-1),RIGHT($C101,LEN($C101)-FIND("/",$C101))))))</f>
        <v>0</v>
      </c>
      <c r="BA101" s="42">
        <f t="shared" ref="BA101" si="199">_xlfn.NUMBERVALUE(IF(V101=0,0,IF(V101=1,LEFT($C101,FIND("/",$C101)-1),SUM(LEFT($C101,FIND("/",$C101)-1),RIGHT($C101,LEN($C101)-FIND("/",$C101))))))</f>
        <v>0</v>
      </c>
      <c r="BB101" s="42">
        <f t="shared" ref="BB101" si="200">_xlfn.NUMBERVALUE(IF(W101=0,0,IF(W101=1,LEFT($C101,FIND("/",$C101)-1),SUM(LEFT($C101,FIND("/",$C101)-1),RIGHT($C101,LEN($C101)-FIND("/",$C101))))))</f>
        <v>0</v>
      </c>
      <c r="BC101" s="42">
        <f t="shared" ref="BC101" si="201">_xlfn.NUMBERVALUE(IF(X101=0,0,IF(X101=1,LEFT($C101,FIND("/",$C101)-1),SUM(LEFT($C101,FIND("/",$C101)-1),RIGHT($C101,LEN($C101)-FIND("/",$C101))))))</f>
        <v>0</v>
      </c>
      <c r="BD101" s="42">
        <f t="shared" ref="BD101" si="202">_xlfn.NUMBERVALUE(IF(Y101=0,0,IF(Y101=1,LEFT($C101,FIND("/",$C101)-1),SUM(LEFT($C101,FIND("/",$C101)-1),RIGHT($C101,LEN($C101)-FIND("/",$C101))))))</f>
        <v>0</v>
      </c>
      <c r="BE101" s="42">
        <f t="shared" ref="BE101" si="203">_xlfn.NUMBERVALUE(IF(Z101=0,0,IF(Z101=1,LEFT($C101,FIND("/",$C101)-1),SUM(LEFT($C101,FIND("/",$C101)-1),RIGHT($C101,LEN($C101)-FIND("/",$C101))))))</f>
        <v>0</v>
      </c>
      <c r="BF101" s="42">
        <f t="shared" ref="BF101" si="204">_xlfn.NUMBERVALUE(IF(AA101=0,0,IF(AA101=1,LEFT($C101,FIND("/",$C101)-1),SUM(LEFT($C101,FIND("/",$C101)-1),RIGHT($C101,LEN($C101)-FIND("/",$C101))))))</f>
        <v>0</v>
      </c>
      <c r="BG101" s="42">
        <f t="shared" ref="BG101" si="205">_xlfn.NUMBERVALUE(IF(AB101=0,0,IF(AB101=1,LEFT($C101,FIND("/",$C101)-1),SUM(LEFT($C101,FIND("/",$C101)-1),RIGHT($C101,LEN($C101)-FIND("/",$C101))))))</f>
        <v>0</v>
      </c>
      <c r="BH101" s="42">
        <f t="shared" ref="BH101" si="206">_xlfn.NUMBERVALUE(IF(AC101=0,0,IF(AC101=1,LEFT($C101,FIND("/",$C101)-1),SUM(LEFT($C101,FIND("/",$C101)-1),RIGHT($C101,LEN($C101)-FIND("/",$C101))))))</f>
        <v>0</v>
      </c>
      <c r="BI101" s="42">
        <f t="shared" ref="BI101" si="207">_xlfn.NUMBERVALUE(IF(AD101=0,0,IF(AD101=1,LEFT($C101,FIND("/",$C101)-1),SUM(LEFT($C101,FIND("/",$C101)-1),RIGHT($C101,LEN($C101)-FIND("/",$C101))))))</f>
        <v>0</v>
      </c>
    </row>
    <row r="102" spans="1:61" x14ac:dyDescent="0.25">
      <c r="A102" s="477"/>
      <c r="B102" s="21" t="s">
        <v>152</v>
      </c>
      <c r="C102" s="1" t="str">
        <f t="shared" si="183"/>
        <v>1/3</v>
      </c>
      <c r="D102" s="1" t="str">
        <f>IF(IF((COUNTIF(Professional_Skill_Options,'Skill Workbook'!F102)&gt;0),INDEX(Professional_Skill_Choices,MATCH(F102,Professional_Skill_Options,0)),FALSE),"X","")</f>
        <v/>
      </c>
      <c r="E102" s="1" t="str">
        <f>IF(IF((COUNTIF(Professional_Skill_Options,'Skill Workbook'!F102)&gt;0),INDEX(Professional_Skill_Knacks,MATCH(F102,Professional_Skill_Options,0)),FALSE),"X","")</f>
        <v/>
      </c>
      <c r="F102" t="s">
        <v>157</v>
      </c>
      <c r="G102" s="194" t="str">
        <f>'Base Details'!T120</f>
        <v>Home</v>
      </c>
      <c r="H102" s="195"/>
      <c r="I102" s="1" t="s">
        <v>160</v>
      </c>
      <c r="J102" s="1">
        <f>'Base Details'!V120</f>
        <v>0</v>
      </c>
      <c r="AE102" s="1">
        <f>SUM(K102:INDEX(K102:AD102,Level))+J102-IF(H102="",0,1)</f>
        <v>0</v>
      </c>
      <c r="AF102" s="26">
        <f t="shared" si="139"/>
        <v>-25</v>
      </c>
      <c r="AG102" s="26" t="e" cm="1">
        <f t="array" aca="1" ref="AG102" ca="1">IF(I102="NA",0,INDIRECT(LEFT(I102,2))+INDIRECT(MID(I102,4,2))+INDIRECT(RIGHT(I102,2)))</f>
        <v>#N/A</v>
      </c>
      <c r="AH102" s="26">
        <f t="shared" si="27"/>
        <v>0</v>
      </c>
      <c r="AI102" s="26">
        <f t="shared" si="28"/>
        <v>0</v>
      </c>
      <c r="AJ102" s="26"/>
      <c r="AK102" s="26" t="e">
        <f t="shared" ca="1" si="138"/>
        <v>#N/A</v>
      </c>
      <c r="AL102" s="32" t="e">
        <f t="shared" ca="1" si="184"/>
        <v>#N/A</v>
      </c>
      <c r="AP102" s="42">
        <f t="shared" si="140"/>
        <v>0</v>
      </c>
      <c r="AQ102" s="42">
        <f t="shared" si="141"/>
        <v>0</v>
      </c>
      <c r="AR102" s="42">
        <f t="shared" si="142"/>
        <v>0</v>
      </c>
      <c r="AS102" s="42">
        <f t="shared" si="143"/>
        <v>0</v>
      </c>
      <c r="AT102" s="42">
        <f t="shared" si="144"/>
        <v>0</v>
      </c>
      <c r="AU102" s="42">
        <f t="shared" si="145"/>
        <v>0</v>
      </c>
      <c r="AV102" s="42">
        <f t="shared" si="146"/>
        <v>0</v>
      </c>
      <c r="AW102" s="42">
        <f t="shared" si="147"/>
        <v>0</v>
      </c>
      <c r="AX102" s="42">
        <f t="shared" si="148"/>
        <v>0</v>
      </c>
      <c r="AY102" s="42">
        <f t="shared" si="149"/>
        <v>0</v>
      </c>
      <c r="AZ102" s="42">
        <f t="shared" si="150"/>
        <v>0</v>
      </c>
      <c r="BA102" s="42">
        <f t="shared" si="151"/>
        <v>0</v>
      </c>
      <c r="BB102" s="42">
        <f t="shared" si="152"/>
        <v>0</v>
      </c>
      <c r="BC102" s="42">
        <f t="shared" si="153"/>
        <v>0</v>
      </c>
      <c r="BD102" s="42">
        <f t="shared" si="154"/>
        <v>0</v>
      </c>
      <c r="BE102" s="42">
        <f t="shared" si="155"/>
        <v>0</v>
      </c>
      <c r="BF102" s="42">
        <f t="shared" si="156"/>
        <v>0</v>
      </c>
      <c r="BG102" s="42">
        <f t="shared" si="157"/>
        <v>0</v>
      </c>
      <c r="BH102" s="42">
        <f t="shared" si="158"/>
        <v>0</v>
      </c>
      <c r="BI102" s="42">
        <f t="shared" si="159"/>
        <v>0</v>
      </c>
    </row>
    <row r="103" spans="1:61" x14ac:dyDescent="0.25">
      <c r="A103" s="477"/>
      <c r="B103" s="21" t="s">
        <v>152</v>
      </c>
      <c r="C103" s="1" t="str">
        <f t="shared" si="183"/>
        <v>1/3</v>
      </c>
      <c r="D103" s="1" t="str">
        <f>IF(IF((COUNTIF(Professional_Skill_Options,'Skill Workbook'!F103)&gt;0),INDEX(Professional_Skill_Choices,MATCH(F103,Professional_Skill_Options,0)),FALSE),"X","")</f>
        <v/>
      </c>
      <c r="E103" s="1" t="str">
        <f>IF(IF((COUNTIF(Professional_Skill_Options,'Skill Workbook'!F103)&gt;0),INDEX(Professional_Skill_Knacks,MATCH(F103,Professional_Skill_Options,0)),FALSE),"X","")</f>
        <v/>
      </c>
      <c r="F103" t="s">
        <v>157</v>
      </c>
      <c r="G103" s="194" t="str">
        <f>'Base Details'!T121</f>
        <v>Neighbor Region</v>
      </c>
      <c r="H103" s="195"/>
      <c r="I103" s="1" t="s">
        <v>160</v>
      </c>
      <c r="J103" s="1">
        <f>'Base Details'!V121</f>
        <v>0</v>
      </c>
      <c r="AE103" s="1">
        <f>SUM(K103:INDEX(K103:AD103,Level))+J103-IF(H103="",0,1)</f>
        <v>0</v>
      </c>
      <c r="AF103" s="26">
        <f t="shared" ref="AF103" si="208">IF(AE103&gt;30,100+AE103,VLOOKUP(AE103,Rank_Bonus,2,FALSE))</f>
        <v>-25</v>
      </c>
      <c r="AG103" s="26" t="e" cm="1">
        <f t="array" aca="1" ref="AG103" ca="1">IF(I103="NA",0,INDIRECT(LEFT(I103,2))+INDIRECT(MID(I103,4,2))+INDIRECT(RIGHT(I103,2)))</f>
        <v>#N/A</v>
      </c>
      <c r="AH103" s="26">
        <f t="shared" ref="AH103" si="209">IF(D103="X",MIN(30,AE103),0)</f>
        <v>0</v>
      </c>
      <c r="AI103" s="26">
        <f t="shared" ref="AI103" si="210">IF(E103="X",5,0)</f>
        <v>0</v>
      </c>
      <c r="AJ103" s="26"/>
      <c r="AK103" s="26" t="e">
        <f t="shared" ca="1" si="138"/>
        <v>#N/A</v>
      </c>
      <c r="AL103" s="32" t="e">
        <f t="shared" ca="1" si="184"/>
        <v>#N/A</v>
      </c>
      <c r="AP103" s="42">
        <f t="shared" ref="AP103" si="211">_xlfn.NUMBERVALUE(IF(K103=0,0,IF(K103=1,LEFT($C103,FIND("/",$C103)-1),SUM(LEFT($C103,FIND("/",$C103)-1),RIGHT($C103,LEN($C103)-FIND("/",$C103))))))</f>
        <v>0</v>
      </c>
      <c r="AQ103" s="42">
        <f t="shared" ref="AQ103" si="212">_xlfn.NUMBERVALUE(IF(L103=0,0,IF(L103=1,LEFT($C103,FIND("/",$C103)-1),SUM(LEFT($C103,FIND("/",$C103)-1),RIGHT($C103,LEN($C103)-FIND("/",$C103))))))</f>
        <v>0</v>
      </c>
      <c r="AR103" s="42">
        <f t="shared" ref="AR103" si="213">_xlfn.NUMBERVALUE(IF(M103=0,0,IF(M103=1,LEFT($C103,FIND("/",$C103)-1),SUM(LEFT($C103,FIND("/",$C103)-1),RIGHT($C103,LEN($C103)-FIND("/",$C103))))))</f>
        <v>0</v>
      </c>
      <c r="AS103" s="42">
        <f t="shared" ref="AS103" si="214">_xlfn.NUMBERVALUE(IF(N103=0,0,IF(N103=1,LEFT($C103,FIND("/",$C103)-1),SUM(LEFT($C103,FIND("/",$C103)-1),RIGHT($C103,LEN($C103)-FIND("/",$C103))))))</f>
        <v>0</v>
      </c>
      <c r="AT103" s="42">
        <f t="shared" ref="AT103" si="215">_xlfn.NUMBERVALUE(IF(O103=0,0,IF(O103=1,LEFT($C103,FIND("/",$C103)-1),SUM(LEFT($C103,FIND("/",$C103)-1),RIGHT($C103,LEN($C103)-FIND("/",$C103))))))</f>
        <v>0</v>
      </c>
      <c r="AU103" s="42">
        <f t="shared" ref="AU103" si="216">_xlfn.NUMBERVALUE(IF(P103=0,0,IF(P103=1,LEFT($C103,FIND("/",$C103)-1),SUM(LEFT($C103,FIND("/",$C103)-1),RIGHT($C103,LEN($C103)-FIND("/",$C103))))))</f>
        <v>0</v>
      </c>
      <c r="AV103" s="42">
        <f t="shared" ref="AV103" si="217">_xlfn.NUMBERVALUE(IF(Q103=0,0,IF(Q103=1,LEFT($C103,FIND("/",$C103)-1),SUM(LEFT($C103,FIND("/",$C103)-1),RIGHT($C103,LEN($C103)-FIND("/",$C103))))))</f>
        <v>0</v>
      </c>
      <c r="AW103" s="42">
        <f t="shared" ref="AW103" si="218">_xlfn.NUMBERVALUE(IF(R103=0,0,IF(R103=1,LEFT($C103,FIND("/",$C103)-1),SUM(LEFT($C103,FIND("/",$C103)-1),RIGHT($C103,LEN($C103)-FIND("/",$C103))))))</f>
        <v>0</v>
      </c>
      <c r="AX103" s="42">
        <f t="shared" ref="AX103" si="219">_xlfn.NUMBERVALUE(IF(S103=0,0,IF(S103=1,LEFT($C103,FIND("/",$C103)-1),SUM(LEFT($C103,FIND("/",$C103)-1),RIGHT($C103,LEN($C103)-FIND("/",$C103))))))</f>
        <v>0</v>
      </c>
      <c r="AY103" s="42">
        <f t="shared" ref="AY103" si="220">_xlfn.NUMBERVALUE(IF(T103=0,0,IF(T103=1,LEFT($C103,FIND("/",$C103)-1),SUM(LEFT($C103,FIND("/",$C103)-1),RIGHT($C103,LEN($C103)-FIND("/",$C103))))))</f>
        <v>0</v>
      </c>
      <c r="AZ103" s="42">
        <f t="shared" ref="AZ103" si="221">_xlfn.NUMBERVALUE(IF(U103=0,0,IF(U103=1,LEFT($C103,FIND("/",$C103)-1),SUM(LEFT($C103,FIND("/",$C103)-1),RIGHT($C103,LEN($C103)-FIND("/",$C103))))))</f>
        <v>0</v>
      </c>
      <c r="BA103" s="42">
        <f t="shared" ref="BA103" si="222">_xlfn.NUMBERVALUE(IF(V103=0,0,IF(V103=1,LEFT($C103,FIND("/",$C103)-1),SUM(LEFT($C103,FIND("/",$C103)-1),RIGHT($C103,LEN($C103)-FIND("/",$C103))))))</f>
        <v>0</v>
      </c>
      <c r="BB103" s="42">
        <f t="shared" ref="BB103" si="223">_xlfn.NUMBERVALUE(IF(W103=0,0,IF(W103=1,LEFT($C103,FIND("/",$C103)-1),SUM(LEFT($C103,FIND("/",$C103)-1),RIGHT($C103,LEN($C103)-FIND("/",$C103))))))</f>
        <v>0</v>
      </c>
      <c r="BC103" s="42">
        <f t="shared" ref="BC103" si="224">_xlfn.NUMBERVALUE(IF(X103=0,0,IF(X103=1,LEFT($C103,FIND("/",$C103)-1),SUM(LEFT($C103,FIND("/",$C103)-1),RIGHT($C103,LEN($C103)-FIND("/",$C103))))))</f>
        <v>0</v>
      </c>
      <c r="BD103" s="42">
        <f t="shared" ref="BD103" si="225">_xlfn.NUMBERVALUE(IF(Y103=0,0,IF(Y103=1,LEFT($C103,FIND("/",$C103)-1),SUM(LEFT($C103,FIND("/",$C103)-1),RIGHT($C103,LEN($C103)-FIND("/",$C103))))))</f>
        <v>0</v>
      </c>
      <c r="BE103" s="42">
        <f t="shared" ref="BE103" si="226">_xlfn.NUMBERVALUE(IF(Z103=0,0,IF(Z103=1,LEFT($C103,FIND("/",$C103)-1),SUM(LEFT($C103,FIND("/",$C103)-1),RIGHT($C103,LEN($C103)-FIND("/",$C103))))))</f>
        <v>0</v>
      </c>
      <c r="BF103" s="42">
        <f t="shared" ref="BF103" si="227">_xlfn.NUMBERVALUE(IF(AA103=0,0,IF(AA103=1,LEFT($C103,FIND("/",$C103)-1),SUM(LEFT($C103,FIND("/",$C103)-1),RIGHT($C103,LEN($C103)-FIND("/",$C103))))))</f>
        <v>0</v>
      </c>
      <c r="BG103" s="42">
        <f t="shared" ref="BG103" si="228">_xlfn.NUMBERVALUE(IF(AB103=0,0,IF(AB103=1,LEFT($C103,FIND("/",$C103)-1),SUM(LEFT($C103,FIND("/",$C103)-1),RIGHT($C103,LEN($C103)-FIND("/",$C103))))))</f>
        <v>0</v>
      </c>
      <c r="BH103" s="42">
        <f t="shared" ref="BH103" si="229">_xlfn.NUMBERVALUE(IF(AC103=0,0,IF(AC103=1,LEFT($C103,FIND("/",$C103)-1),SUM(LEFT($C103,FIND("/",$C103)-1),RIGHT($C103,LEN($C103)-FIND("/",$C103))))))</f>
        <v>0</v>
      </c>
      <c r="BI103" s="42">
        <f t="shared" ref="BI103" si="230">_xlfn.NUMBERVALUE(IF(AD103=0,0,IF(AD103=1,LEFT($C103,FIND("/",$C103)-1),SUM(LEFT($C103,FIND("/",$C103)-1),RIGHT($C103,LEN($C103)-FIND("/",$C103))))))</f>
        <v>0</v>
      </c>
    </row>
    <row r="104" spans="1:61" x14ac:dyDescent="0.25">
      <c r="A104" s="477"/>
      <c r="B104" s="21" t="s">
        <v>152</v>
      </c>
      <c r="C104" s="1" t="str">
        <f t="shared" si="183"/>
        <v>1/3</v>
      </c>
      <c r="D104" s="1" t="str">
        <f>IF(IF((COUNTIF(Professional_Skill_Options,'Skill Workbook'!F104)&gt;0),INDEX(Professional_Skill_Choices,MATCH(F104,Professional_Skill_Options,0)),FALSE),"X","")</f>
        <v/>
      </c>
      <c r="E104" s="1" t="str">
        <f>IF(IF((COUNTIF(Professional_Skill_Options,'Skill Workbook'!F104)&gt;0),INDEX(Professional_Skill_Knacks,MATCH(F104,Professional_Skill_Options,0)),FALSE),"X","")</f>
        <v/>
      </c>
      <c r="F104" t="s">
        <v>157</v>
      </c>
      <c r="G104" s="194"/>
      <c r="H104" s="195"/>
      <c r="I104" s="1" t="s">
        <v>160</v>
      </c>
      <c r="J104" s="46"/>
      <c r="AE104" s="1">
        <f>SUM(K104:INDEX(K104:AD104,Level))+J104-IF(H104="",0,1)</f>
        <v>0</v>
      </c>
      <c r="AF104" s="26">
        <f t="shared" si="139"/>
        <v>-25</v>
      </c>
      <c r="AG104" s="26" t="e" cm="1">
        <f t="array" aca="1" ref="AG104" ca="1">IF(I104="NA",0,INDIRECT(LEFT(I104,2))+INDIRECT(MID(I104,4,2))+INDIRECT(RIGHT(I104,2)))</f>
        <v>#N/A</v>
      </c>
      <c r="AH104" s="26">
        <f t="shared" si="27"/>
        <v>0</v>
      </c>
      <c r="AI104" s="26">
        <f t="shared" si="28"/>
        <v>0</v>
      </c>
      <c r="AJ104" s="26"/>
      <c r="AK104" s="26" t="e">
        <f t="shared" ca="1" si="138"/>
        <v>#N/A</v>
      </c>
      <c r="AL104" s="32" t="e">
        <f t="shared" ca="1" si="184"/>
        <v>#N/A</v>
      </c>
      <c r="AP104" s="42">
        <f t="shared" si="140"/>
        <v>0</v>
      </c>
      <c r="AQ104" s="42">
        <f t="shared" si="141"/>
        <v>0</v>
      </c>
      <c r="AR104" s="42">
        <f t="shared" si="142"/>
        <v>0</v>
      </c>
      <c r="AS104" s="42">
        <f t="shared" si="143"/>
        <v>0</v>
      </c>
      <c r="AT104" s="42">
        <f t="shared" si="144"/>
        <v>0</v>
      </c>
      <c r="AU104" s="42">
        <f t="shared" si="145"/>
        <v>0</v>
      </c>
      <c r="AV104" s="42">
        <f t="shared" si="146"/>
        <v>0</v>
      </c>
      <c r="AW104" s="42">
        <f t="shared" si="147"/>
        <v>0</v>
      </c>
      <c r="AX104" s="42">
        <f t="shared" si="148"/>
        <v>0</v>
      </c>
      <c r="AY104" s="42">
        <f t="shared" si="149"/>
        <v>0</v>
      </c>
      <c r="AZ104" s="42">
        <f t="shared" si="150"/>
        <v>0</v>
      </c>
      <c r="BA104" s="42">
        <f t="shared" si="151"/>
        <v>0</v>
      </c>
      <c r="BB104" s="42">
        <f t="shared" si="152"/>
        <v>0</v>
      </c>
      <c r="BC104" s="42">
        <f t="shared" si="153"/>
        <v>0</v>
      </c>
      <c r="BD104" s="42">
        <f t="shared" si="154"/>
        <v>0</v>
      </c>
      <c r="BE104" s="42">
        <f t="shared" si="155"/>
        <v>0</v>
      </c>
      <c r="BF104" s="42">
        <f t="shared" si="156"/>
        <v>0</v>
      </c>
      <c r="BG104" s="42">
        <f t="shared" si="157"/>
        <v>0</v>
      </c>
      <c r="BH104" s="42">
        <f t="shared" si="158"/>
        <v>0</v>
      </c>
      <c r="BI104" s="42">
        <f t="shared" si="159"/>
        <v>0</v>
      </c>
    </row>
    <row r="105" spans="1:61" x14ac:dyDescent="0.25">
      <c r="A105" s="477"/>
      <c r="B105" s="21" t="s">
        <v>152</v>
      </c>
      <c r="C105" s="1" t="str">
        <f t="shared" si="183"/>
        <v>1/3</v>
      </c>
      <c r="D105" s="1" t="str">
        <f>IF(IF((COUNTIF(Professional_Skill_Options,'Skill Workbook'!F105)&gt;0),INDEX(Professional_Skill_Choices,MATCH(F105,Professional_Skill_Options,0)),FALSE),"X","")</f>
        <v/>
      </c>
      <c r="E105" s="1" t="str">
        <f>IF(IF((COUNTIF(Professional_Skill_Options,'Skill Workbook'!F105)&gt;0),INDEX(Professional_Skill_Knacks,MATCH(F105,Professional_Skill_Options,0)),FALSE),"X","")</f>
        <v/>
      </c>
      <c r="F105" t="s">
        <v>158</v>
      </c>
      <c r="G105" s="196"/>
      <c r="H105" s="198"/>
      <c r="I105" s="1" t="s">
        <v>160</v>
      </c>
      <c r="J105" s="1">
        <f>'Base Details'!V112</f>
        <v>0</v>
      </c>
      <c r="AE105" s="1">
        <f>SUM(K105:INDEX(K105:AD105,Level))+J105-IF(H105="",0,1)</f>
        <v>0</v>
      </c>
      <c r="AF105" s="26">
        <f t="shared" si="139"/>
        <v>-25</v>
      </c>
      <c r="AG105" s="26" t="e" cm="1">
        <f t="array" aca="1" ref="AG105" ca="1">IF(I105="NA",0,INDIRECT(LEFT(I105,2))+INDIRECT(MID(I105,4,2))+INDIRECT(RIGHT(I105,2)))</f>
        <v>#N/A</v>
      </c>
      <c r="AH105" s="26">
        <f t="shared" si="27"/>
        <v>0</v>
      </c>
      <c r="AI105" s="26">
        <f t="shared" si="28"/>
        <v>0</v>
      </c>
      <c r="AJ105" s="26"/>
      <c r="AK105" s="26" t="e">
        <f t="shared" ca="1" si="138"/>
        <v>#N/A</v>
      </c>
      <c r="AL105" s="32" t="e">
        <f t="shared" ca="1" si="184"/>
        <v>#N/A</v>
      </c>
      <c r="AP105" s="42">
        <f t="shared" si="140"/>
        <v>0</v>
      </c>
      <c r="AQ105" s="42">
        <f t="shared" si="141"/>
        <v>0</v>
      </c>
      <c r="AR105" s="42">
        <f t="shared" si="142"/>
        <v>0</v>
      </c>
      <c r="AS105" s="42">
        <f t="shared" si="143"/>
        <v>0</v>
      </c>
      <c r="AT105" s="42">
        <f t="shared" si="144"/>
        <v>0</v>
      </c>
      <c r="AU105" s="42">
        <f t="shared" si="145"/>
        <v>0</v>
      </c>
      <c r="AV105" s="42">
        <f t="shared" si="146"/>
        <v>0</v>
      </c>
      <c r="AW105" s="42">
        <f t="shared" si="147"/>
        <v>0</v>
      </c>
      <c r="AX105" s="42">
        <f t="shared" si="148"/>
        <v>0</v>
      </c>
      <c r="AY105" s="42">
        <f t="shared" si="149"/>
        <v>0</v>
      </c>
      <c r="AZ105" s="42">
        <f t="shared" si="150"/>
        <v>0</v>
      </c>
      <c r="BA105" s="42">
        <f t="shared" si="151"/>
        <v>0</v>
      </c>
      <c r="BB105" s="42">
        <f t="shared" si="152"/>
        <v>0</v>
      </c>
      <c r="BC105" s="42">
        <f t="shared" si="153"/>
        <v>0</v>
      </c>
      <c r="BD105" s="42">
        <f t="shared" si="154"/>
        <v>0</v>
      </c>
      <c r="BE105" s="42">
        <f t="shared" si="155"/>
        <v>0</v>
      </c>
      <c r="BF105" s="42">
        <f t="shared" si="156"/>
        <v>0</v>
      </c>
      <c r="BG105" s="42">
        <f t="shared" si="157"/>
        <v>0</v>
      </c>
      <c r="BH105" s="42">
        <f t="shared" si="158"/>
        <v>0</v>
      </c>
      <c r="BI105" s="42">
        <f t="shared" si="159"/>
        <v>0</v>
      </c>
    </row>
    <row r="106" spans="1:61" x14ac:dyDescent="0.25">
      <c r="A106" s="477"/>
      <c r="B106" s="21" t="s">
        <v>152</v>
      </c>
      <c r="C106" s="1" t="str">
        <f t="shared" si="183"/>
        <v>1/3</v>
      </c>
      <c r="D106" s="1" t="str">
        <f>IF(IF((COUNTIF(Professional_Skill_Options,'Skill Workbook'!F106)&gt;0),INDEX(Professional_Skill_Choices,MATCH(F106,Professional_Skill_Options,0)),FALSE),"X","")</f>
        <v/>
      </c>
      <c r="E106" s="1" t="str">
        <f>IF(IF((COUNTIF(Professional_Skill_Options,'Skill Workbook'!F106)&gt;0),INDEX(Professional_Skill_Knacks,MATCH(F106,Professional_Skill_Options,0)),FALSE),"X","")</f>
        <v/>
      </c>
      <c r="F106" t="s">
        <v>159</v>
      </c>
      <c r="G106" s="194" t="str">
        <f>'Base Details'!O139</f>
        <v>Spell List 1</v>
      </c>
      <c r="H106" s="195"/>
      <c r="I106" s="1" t="s">
        <v>160</v>
      </c>
      <c r="J106" s="1">
        <f>'Base Details'!J139</f>
        <v>0</v>
      </c>
      <c r="AE106" s="1">
        <f>SUM(K106:INDEX(K106:AD106,Level))+J106-IF(H106="",0,1)</f>
        <v>0</v>
      </c>
      <c r="AF106" s="26">
        <f t="shared" si="139"/>
        <v>-25</v>
      </c>
      <c r="AG106" s="26" t="e" cm="1">
        <f t="array" aca="1" ref="AG106" ca="1">IF(I106="NA",0,INDIRECT(LEFT(I106,2))+INDIRECT(MID(I106,4,2))+INDIRECT(RIGHT(I106,2)))</f>
        <v>#N/A</v>
      </c>
      <c r="AH106" s="26">
        <f t="shared" si="27"/>
        <v>0</v>
      </c>
      <c r="AI106" s="26">
        <f t="shared" si="28"/>
        <v>0</v>
      </c>
      <c r="AJ106" s="26"/>
      <c r="AK106" s="26" t="e">
        <f t="shared" ca="1" si="138"/>
        <v>#N/A</v>
      </c>
      <c r="AL106" s="32" t="e">
        <f t="shared" ca="1" si="184"/>
        <v>#N/A</v>
      </c>
      <c r="AP106" s="42">
        <f t="shared" si="140"/>
        <v>0</v>
      </c>
      <c r="AQ106" s="42">
        <f t="shared" si="141"/>
        <v>0</v>
      </c>
      <c r="AR106" s="42">
        <f t="shared" si="142"/>
        <v>0</v>
      </c>
      <c r="AS106" s="42">
        <f t="shared" si="143"/>
        <v>0</v>
      </c>
      <c r="AT106" s="42">
        <f t="shared" si="144"/>
        <v>0</v>
      </c>
      <c r="AU106" s="42">
        <f t="shared" si="145"/>
        <v>0</v>
      </c>
      <c r="AV106" s="42">
        <f t="shared" si="146"/>
        <v>0</v>
      </c>
      <c r="AW106" s="42">
        <f t="shared" si="147"/>
        <v>0</v>
      </c>
      <c r="AX106" s="42">
        <f t="shared" si="148"/>
        <v>0</v>
      </c>
      <c r="AY106" s="42">
        <f t="shared" si="149"/>
        <v>0</v>
      </c>
      <c r="AZ106" s="42">
        <f t="shared" si="150"/>
        <v>0</v>
      </c>
      <c r="BA106" s="42">
        <f t="shared" si="151"/>
        <v>0</v>
      </c>
      <c r="BB106" s="42">
        <f t="shared" si="152"/>
        <v>0</v>
      </c>
      <c r="BC106" s="42">
        <f t="shared" si="153"/>
        <v>0</v>
      </c>
      <c r="BD106" s="42">
        <f t="shared" si="154"/>
        <v>0</v>
      </c>
      <c r="BE106" s="42">
        <f t="shared" si="155"/>
        <v>0</v>
      </c>
      <c r="BF106" s="42">
        <f t="shared" si="156"/>
        <v>0</v>
      </c>
      <c r="BG106" s="42">
        <f t="shared" si="157"/>
        <v>0</v>
      </c>
      <c r="BH106" s="42">
        <f t="shared" si="158"/>
        <v>0</v>
      </c>
      <c r="BI106" s="42">
        <f t="shared" si="159"/>
        <v>0</v>
      </c>
    </row>
    <row r="107" spans="1:61" x14ac:dyDescent="0.25">
      <c r="A107" s="477"/>
      <c r="B107" s="21" t="s">
        <v>152</v>
      </c>
      <c r="C107" s="1" t="str">
        <f t="shared" si="183"/>
        <v>1/3</v>
      </c>
      <c r="D107" s="1" t="str">
        <f>IF(IF((COUNTIF(Professional_Skill_Options,'Skill Workbook'!F107)&gt;0),INDEX(Professional_Skill_Choices,MATCH(F107,Professional_Skill_Options,0)),FALSE),"X","")</f>
        <v/>
      </c>
      <c r="E107" s="1" t="str">
        <f>IF(IF((COUNTIF(Professional_Skill_Options,'Skill Workbook'!F107)&gt;0),INDEX(Professional_Skill_Knacks,MATCH(F107,Professional_Skill_Options,0)),FALSE),"X","")</f>
        <v/>
      </c>
      <c r="F107" t="s">
        <v>159</v>
      </c>
      <c r="G107" s="194" t="str">
        <f>'Base Details'!O140</f>
        <v>Spell List 2</v>
      </c>
      <c r="H107" s="195"/>
      <c r="I107" s="1" t="s">
        <v>160</v>
      </c>
      <c r="J107" s="1">
        <f>'Base Details'!J140</f>
        <v>0</v>
      </c>
      <c r="AE107" s="1">
        <f>SUM(K107:INDEX(K107:AD107,Level))+J107-IF(H107="",0,1)</f>
        <v>0</v>
      </c>
      <c r="AF107" s="26">
        <f t="shared" ref="AF107" si="231">IF(AE107&gt;30,100+AE107,VLOOKUP(AE107,Rank_Bonus,2,FALSE))</f>
        <v>-25</v>
      </c>
      <c r="AG107" s="26" t="e" cm="1">
        <f t="array" aca="1" ref="AG107" ca="1">IF(I107="NA",0,INDIRECT(LEFT(I107,2))+INDIRECT(MID(I107,4,2))+INDIRECT(RIGHT(I107,2)))</f>
        <v>#N/A</v>
      </c>
      <c r="AH107" s="26">
        <f t="shared" ref="AH107" si="232">IF(D107="X",MIN(30,AE107),0)</f>
        <v>0</v>
      </c>
      <c r="AI107" s="26">
        <f t="shared" ref="AI107" si="233">IF(E107="X",5,0)</f>
        <v>0</v>
      </c>
      <c r="AJ107" s="26"/>
      <c r="AK107" s="26" t="e">
        <f t="shared" ca="1" si="138"/>
        <v>#N/A</v>
      </c>
      <c r="AL107" s="32" t="e">
        <f t="shared" ca="1" si="184"/>
        <v>#N/A</v>
      </c>
      <c r="AP107" s="42">
        <f t="shared" ref="AP107" si="234">_xlfn.NUMBERVALUE(IF(K107=0,0,IF(K107=1,LEFT($C107,FIND("/",$C107)-1),SUM(LEFT($C107,FIND("/",$C107)-1),RIGHT($C107,LEN($C107)-FIND("/",$C107))))))</f>
        <v>0</v>
      </c>
      <c r="AQ107" s="42">
        <f t="shared" ref="AQ107" si="235">_xlfn.NUMBERVALUE(IF(L107=0,0,IF(L107=1,LEFT($C107,FIND("/",$C107)-1),SUM(LEFT($C107,FIND("/",$C107)-1),RIGHT($C107,LEN($C107)-FIND("/",$C107))))))</f>
        <v>0</v>
      </c>
      <c r="AR107" s="42">
        <f t="shared" ref="AR107" si="236">_xlfn.NUMBERVALUE(IF(M107=0,0,IF(M107=1,LEFT($C107,FIND("/",$C107)-1),SUM(LEFT($C107,FIND("/",$C107)-1),RIGHT($C107,LEN($C107)-FIND("/",$C107))))))</f>
        <v>0</v>
      </c>
      <c r="AS107" s="42">
        <f t="shared" ref="AS107" si="237">_xlfn.NUMBERVALUE(IF(N107=0,0,IF(N107=1,LEFT($C107,FIND("/",$C107)-1),SUM(LEFT($C107,FIND("/",$C107)-1),RIGHT($C107,LEN($C107)-FIND("/",$C107))))))</f>
        <v>0</v>
      </c>
      <c r="AT107" s="42">
        <f t="shared" ref="AT107" si="238">_xlfn.NUMBERVALUE(IF(O107=0,0,IF(O107=1,LEFT($C107,FIND("/",$C107)-1),SUM(LEFT($C107,FIND("/",$C107)-1),RIGHT($C107,LEN($C107)-FIND("/",$C107))))))</f>
        <v>0</v>
      </c>
      <c r="AU107" s="42">
        <f t="shared" ref="AU107" si="239">_xlfn.NUMBERVALUE(IF(P107=0,0,IF(P107=1,LEFT($C107,FIND("/",$C107)-1),SUM(LEFT($C107,FIND("/",$C107)-1),RIGHT($C107,LEN($C107)-FIND("/",$C107))))))</f>
        <v>0</v>
      </c>
      <c r="AV107" s="42">
        <f t="shared" ref="AV107" si="240">_xlfn.NUMBERVALUE(IF(Q107=0,0,IF(Q107=1,LEFT($C107,FIND("/",$C107)-1),SUM(LEFT($C107,FIND("/",$C107)-1),RIGHT($C107,LEN($C107)-FIND("/",$C107))))))</f>
        <v>0</v>
      </c>
      <c r="AW107" s="42">
        <f t="shared" ref="AW107" si="241">_xlfn.NUMBERVALUE(IF(R107=0,0,IF(R107=1,LEFT($C107,FIND("/",$C107)-1),SUM(LEFT($C107,FIND("/",$C107)-1),RIGHT($C107,LEN($C107)-FIND("/",$C107))))))</f>
        <v>0</v>
      </c>
      <c r="AX107" s="42">
        <f t="shared" ref="AX107" si="242">_xlfn.NUMBERVALUE(IF(S107=0,0,IF(S107=1,LEFT($C107,FIND("/",$C107)-1),SUM(LEFT($C107,FIND("/",$C107)-1),RIGHT($C107,LEN($C107)-FIND("/",$C107))))))</f>
        <v>0</v>
      </c>
      <c r="AY107" s="42">
        <f t="shared" ref="AY107" si="243">_xlfn.NUMBERVALUE(IF(T107=0,0,IF(T107=1,LEFT($C107,FIND("/",$C107)-1),SUM(LEFT($C107,FIND("/",$C107)-1),RIGHT($C107,LEN($C107)-FIND("/",$C107))))))</f>
        <v>0</v>
      </c>
      <c r="AZ107" s="42">
        <f t="shared" ref="AZ107" si="244">_xlfn.NUMBERVALUE(IF(U107=0,0,IF(U107=1,LEFT($C107,FIND("/",$C107)-1),SUM(LEFT($C107,FIND("/",$C107)-1),RIGHT($C107,LEN($C107)-FIND("/",$C107))))))</f>
        <v>0</v>
      </c>
      <c r="BA107" s="42">
        <f t="shared" ref="BA107" si="245">_xlfn.NUMBERVALUE(IF(V107=0,0,IF(V107=1,LEFT($C107,FIND("/",$C107)-1),SUM(LEFT($C107,FIND("/",$C107)-1),RIGHT($C107,LEN($C107)-FIND("/",$C107))))))</f>
        <v>0</v>
      </c>
      <c r="BB107" s="42">
        <f t="shared" ref="BB107" si="246">_xlfn.NUMBERVALUE(IF(W107=0,0,IF(W107=1,LEFT($C107,FIND("/",$C107)-1),SUM(LEFT($C107,FIND("/",$C107)-1),RIGHT($C107,LEN($C107)-FIND("/",$C107))))))</f>
        <v>0</v>
      </c>
      <c r="BC107" s="42">
        <f t="shared" ref="BC107" si="247">_xlfn.NUMBERVALUE(IF(X107=0,0,IF(X107=1,LEFT($C107,FIND("/",$C107)-1),SUM(LEFT($C107,FIND("/",$C107)-1),RIGHT($C107,LEN($C107)-FIND("/",$C107))))))</f>
        <v>0</v>
      </c>
      <c r="BD107" s="42">
        <f t="shared" ref="BD107" si="248">_xlfn.NUMBERVALUE(IF(Y107=0,0,IF(Y107=1,LEFT($C107,FIND("/",$C107)-1),SUM(LEFT($C107,FIND("/",$C107)-1),RIGHT($C107,LEN($C107)-FIND("/",$C107))))))</f>
        <v>0</v>
      </c>
      <c r="BE107" s="42">
        <f t="shared" ref="BE107" si="249">_xlfn.NUMBERVALUE(IF(Z107=0,0,IF(Z107=1,LEFT($C107,FIND("/",$C107)-1),SUM(LEFT($C107,FIND("/",$C107)-1),RIGHT($C107,LEN($C107)-FIND("/",$C107))))))</f>
        <v>0</v>
      </c>
      <c r="BF107" s="42">
        <f t="shared" ref="BF107" si="250">_xlfn.NUMBERVALUE(IF(AA107=0,0,IF(AA107=1,LEFT($C107,FIND("/",$C107)-1),SUM(LEFT($C107,FIND("/",$C107)-1),RIGHT($C107,LEN($C107)-FIND("/",$C107))))))</f>
        <v>0</v>
      </c>
      <c r="BG107" s="42">
        <f t="shared" ref="BG107" si="251">_xlfn.NUMBERVALUE(IF(AB107=0,0,IF(AB107=1,LEFT($C107,FIND("/",$C107)-1),SUM(LEFT($C107,FIND("/",$C107)-1),RIGHT($C107,LEN($C107)-FIND("/",$C107))))))</f>
        <v>0</v>
      </c>
      <c r="BH107" s="42">
        <f t="shared" ref="BH107" si="252">_xlfn.NUMBERVALUE(IF(AC107=0,0,IF(AC107=1,LEFT($C107,FIND("/",$C107)-1),SUM(LEFT($C107,FIND("/",$C107)-1),RIGHT($C107,LEN($C107)-FIND("/",$C107))))))</f>
        <v>0</v>
      </c>
      <c r="BI107" s="42">
        <f t="shared" ref="BI107" si="253">_xlfn.NUMBERVALUE(IF(AD107=0,0,IF(AD107=1,LEFT($C107,FIND("/",$C107)-1),SUM(LEFT($C107,FIND("/",$C107)-1),RIGHT($C107,LEN($C107)-FIND("/",$C107))))))</f>
        <v>0</v>
      </c>
    </row>
    <row r="108" spans="1:61" x14ac:dyDescent="0.25">
      <c r="A108" s="477"/>
      <c r="B108" s="21" t="s">
        <v>152</v>
      </c>
      <c r="C108" s="1" t="str">
        <f t="shared" si="183"/>
        <v>1/3</v>
      </c>
      <c r="D108" s="1" t="str">
        <f>IF(IF((COUNTIF(Professional_Skill_Options,'Skill Workbook'!F108)&gt;0),INDEX(Professional_Skill_Choices,MATCH(F108,Professional_Skill_Options,0)),FALSE),"X","")</f>
        <v/>
      </c>
      <c r="E108" s="1" t="str">
        <f>IF(IF((COUNTIF(Professional_Skill_Options,'Skill Workbook'!F108)&gt;0),INDEX(Professional_Skill_Knacks,MATCH(F108,Professional_Skill_Options,0)),FALSE),"X","")</f>
        <v/>
      </c>
      <c r="F108" t="s">
        <v>159</v>
      </c>
      <c r="G108" s="194" t="str">
        <f>'Base Details'!O141</f>
        <v>Spell List 3</v>
      </c>
      <c r="H108" s="195"/>
      <c r="I108" s="1" t="s">
        <v>160</v>
      </c>
      <c r="J108" s="1">
        <f>'Base Details'!J141</f>
        <v>0</v>
      </c>
      <c r="AE108" s="1">
        <f>SUM(K108:INDEX(K108:AD108,Level))+J108-IF(H108="",0,1)</f>
        <v>0</v>
      </c>
      <c r="AF108" s="26">
        <f t="shared" si="139"/>
        <v>-25</v>
      </c>
      <c r="AG108" s="26" t="e" cm="1">
        <f t="array" aca="1" ref="AG108" ca="1">IF(I108="NA",0,INDIRECT(LEFT(I108,2))+INDIRECT(MID(I108,4,2))+INDIRECT(RIGHT(I108,2)))</f>
        <v>#N/A</v>
      </c>
      <c r="AH108" s="26">
        <f t="shared" si="27"/>
        <v>0</v>
      </c>
      <c r="AI108" s="26">
        <f t="shared" si="28"/>
        <v>0</v>
      </c>
      <c r="AJ108" s="26"/>
      <c r="AK108" s="26" t="e">
        <f t="shared" ca="1" si="138"/>
        <v>#N/A</v>
      </c>
      <c r="AL108" s="32" t="e">
        <f t="shared" ca="1" si="184"/>
        <v>#N/A</v>
      </c>
      <c r="AP108" s="42">
        <f t="shared" si="140"/>
        <v>0</v>
      </c>
      <c r="AQ108" s="42">
        <f t="shared" si="141"/>
        <v>0</v>
      </c>
      <c r="AR108" s="42">
        <f t="shared" si="142"/>
        <v>0</v>
      </c>
      <c r="AS108" s="42">
        <f t="shared" si="143"/>
        <v>0</v>
      </c>
      <c r="AT108" s="42">
        <f t="shared" si="144"/>
        <v>0</v>
      </c>
      <c r="AU108" s="42">
        <f t="shared" si="145"/>
        <v>0</v>
      </c>
      <c r="AV108" s="42">
        <f t="shared" si="146"/>
        <v>0</v>
      </c>
      <c r="AW108" s="42">
        <f t="shared" si="147"/>
        <v>0</v>
      </c>
      <c r="AX108" s="42">
        <f t="shared" si="148"/>
        <v>0</v>
      </c>
      <c r="AY108" s="42">
        <f t="shared" si="149"/>
        <v>0</v>
      </c>
      <c r="AZ108" s="42">
        <f t="shared" si="150"/>
        <v>0</v>
      </c>
      <c r="BA108" s="42">
        <f t="shared" si="151"/>
        <v>0</v>
      </c>
      <c r="BB108" s="42">
        <f t="shared" si="152"/>
        <v>0</v>
      </c>
      <c r="BC108" s="42">
        <f t="shared" si="153"/>
        <v>0</v>
      </c>
      <c r="BD108" s="42">
        <f t="shared" si="154"/>
        <v>0</v>
      </c>
      <c r="BE108" s="42">
        <f t="shared" si="155"/>
        <v>0</v>
      </c>
      <c r="BF108" s="42">
        <f t="shared" si="156"/>
        <v>0</v>
      </c>
      <c r="BG108" s="42">
        <f t="shared" si="157"/>
        <v>0</v>
      </c>
      <c r="BH108" s="42">
        <f t="shared" si="158"/>
        <v>0</v>
      </c>
      <c r="BI108" s="42">
        <f t="shared" si="159"/>
        <v>0</v>
      </c>
    </row>
    <row r="109" spans="1:61" x14ac:dyDescent="0.25">
      <c r="A109" s="477"/>
      <c r="B109" s="21" t="s">
        <v>161</v>
      </c>
      <c r="C109" s="1" t="str">
        <f>C108</f>
        <v>1/3</v>
      </c>
      <c r="D109" s="1" t="str">
        <f>IF(IF((COUNTIF(Professional_Skill_Options,'Skill Workbook'!B109)&gt;0),INDEX(Professional_Skill_Choices,MATCH(B109,Professional_Skill_Options,0)),FALSE),"X","")</f>
        <v/>
      </c>
      <c r="E109" s="1" t="str">
        <f>IF(IF((COUNTIF(Professional_Skill_Options,'Skill Workbook'!B109)&gt;0),INDEX(Professional_Skill_Knacks,MATCH(B109,Professional_Skill_Options,0)),FALSE),"X","")</f>
        <v/>
      </c>
      <c r="F109" t="s">
        <v>162</v>
      </c>
      <c r="G109" s="474" t="str">
        <f>'Base Details'!O123</f>
        <v>Language 1</v>
      </c>
      <c r="H109" s="199"/>
      <c r="I109" s="1" t="s">
        <v>160</v>
      </c>
      <c r="J109" s="1">
        <f>'Base Details'!J123</f>
        <v>0</v>
      </c>
      <c r="AE109" s="1">
        <f>SUM(K109:INDEX(K109:AD109,Level))+J109-IF(H109="",0,1)</f>
        <v>0</v>
      </c>
      <c r="AF109" s="26">
        <f t="shared" si="139"/>
        <v>-25</v>
      </c>
      <c r="AG109" s="26" t="e" cm="1">
        <f t="array" aca="1" ref="AG109" ca="1">IF(I109="NA",0,INDIRECT(LEFT(I109,2))+INDIRECT(MID(I109,4,2))+INDIRECT(RIGHT(I109,2)))</f>
        <v>#N/A</v>
      </c>
      <c r="AH109" s="26">
        <f t="shared" si="27"/>
        <v>0</v>
      </c>
      <c r="AI109" s="26">
        <f t="shared" si="28"/>
        <v>0</v>
      </c>
      <c r="AJ109" s="26"/>
      <c r="AK109" s="26" t="e">
        <f t="shared" ca="1" si="138"/>
        <v>#N/A</v>
      </c>
      <c r="AL109" s="32" t="e">
        <f t="shared" ca="1" si="184"/>
        <v>#N/A</v>
      </c>
      <c r="AP109" s="42">
        <f t="shared" si="140"/>
        <v>0</v>
      </c>
      <c r="AQ109" s="42">
        <f t="shared" si="141"/>
        <v>0</v>
      </c>
      <c r="AR109" s="42">
        <f t="shared" si="142"/>
        <v>0</v>
      </c>
      <c r="AS109" s="42">
        <f t="shared" si="143"/>
        <v>0</v>
      </c>
      <c r="AT109" s="42">
        <f t="shared" si="144"/>
        <v>0</v>
      </c>
      <c r="AU109" s="42">
        <f t="shared" si="145"/>
        <v>0</v>
      </c>
      <c r="AV109" s="42">
        <f t="shared" si="146"/>
        <v>0</v>
      </c>
      <c r="AW109" s="42">
        <f t="shared" si="147"/>
        <v>0</v>
      </c>
      <c r="AX109" s="42">
        <f t="shared" si="148"/>
        <v>0</v>
      </c>
      <c r="AY109" s="42">
        <f t="shared" si="149"/>
        <v>0</v>
      </c>
      <c r="AZ109" s="42">
        <f t="shared" si="150"/>
        <v>0</v>
      </c>
      <c r="BA109" s="42">
        <f t="shared" si="151"/>
        <v>0</v>
      </c>
      <c r="BB109" s="42">
        <f t="shared" si="152"/>
        <v>0</v>
      </c>
      <c r="BC109" s="42">
        <f t="shared" si="153"/>
        <v>0</v>
      </c>
      <c r="BD109" s="42">
        <f t="shared" si="154"/>
        <v>0</v>
      </c>
      <c r="BE109" s="42">
        <f t="shared" si="155"/>
        <v>0</v>
      </c>
      <c r="BF109" s="42">
        <f t="shared" si="156"/>
        <v>0</v>
      </c>
      <c r="BG109" s="42">
        <f t="shared" si="157"/>
        <v>0</v>
      </c>
      <c r="BH109" s="42">
        <f t="shared" si="158"/>
        <v>0</v>
      </c>
      <c r="BI109" s="42">
        <f t="shared" si="159"/>
        <v>0</v>
      </c>
    </row>
    <row r="110" spans="1:61" x14ac:dyDescent="0.25">
      <c r="A110" s="477"/>
      <c r="B110" s="21" t="s">
        <v>161</v>
      </c>
      <c r="C110" s="1" t="str">
        <f t="shared" ref="C110:C124" si="254">C109</f>
        <v>1/3</v>
      </c>
      <c r="D110" s="1" t="str">
        <f>IF(IF((COUNTIF(Professional_Skill_Options,'Skill Workbook'!B110)&gt;0),INDEX(Professional_Skill_Choices,MATCH(B110,Professional_Skill_Options,0)),FALSE),"X","")</f>
        <v/>
      </c>
      <c r="E110" s="1" t="str">
        <f>IF(IF((COUNTIF(Professional_Skill_Options,'Skill Workbook'!B110)&gt;0),INDEX(Professional_Skill_Knacks,MATCH(B110,Professional_Skill_Options,0)),FALSE),"X","")</f>
        <v/>
      </c>
      <c r="F110" t="s">
        <v>163</v>
      </c>
      <c r="G110" s="474"/>
      <c r="H110" s="199"/>
      <c r="I110" s="1" t="s">
        <v>160</v>
      </c>
      <c r="J110" s="1">
        <f>'Base Details'!J124</f>
        <v>0</v>
      </c>
      <c r="AE110" s="1">
        <f>SUM(K110:INDEX(K110:AD110,Level))+J110-IF(H110="",0,1)</f>
        <v>0</v>
      </c>
      <c r="AF110" s="26">
        <f t="shared" si="139"/>
        <v>-25</v>
      </c>
      <c r="AG110" s="26" t="e" cm="1">
        <f t="array" aca="1" ref="AG110" ca="1">IF(I110="NA",0,INDIRECT(LEFT(I110,2))+INDIRECT(MID(I110,4,2))+INDIRECT(RIGHT(I110,2)))</f>
        <v>#N/A</v>
      </c>
      <c r="AH110" s="26">
        <f t="shared" si="27"/>
        <v>0</v>
      </c>
      <c r="AI110" s="26">
        <f t="shared" si="28"/>
        <v>0</v>
      </c>
      <c r="AJ110" s="26"/>
      <c r="AK110" s="26" t="e">
        <f t="shared" ca="1" si="138"/>
        <v>#N/A</v>
      </c>
      <c r="AL110" s="32" t="e">
        <f t="shared" ca="1" si="184"/>
        <v>#N/A</v>
      </c>
      <c r="AP110" s="42">
        <f t="shared" si="140"/>
        <v>0</v>
      </c>
      <c r="AQ110" s="42">
        <f t="shared" si="141"/>
        <v>0</v>
      </c>
      <c r="AR110" s="42">
        <f t="shared" si="142"/>
        <v>0</v>
      </c>
      <c r="AS110" s="42">
        <f t="shared" si="143"/>
        <v>0</v>
      </c>
      <c r="AT110" s="42">
        <f t="shared" si="144"/>
        <v>0</v>
      </c>
      <c r="AU110" s="42">
        <f t="shared" si="145"/>
        <v>0</v>
      </c>
      <c r="AV110" s="42">
        <f t="shared" si="146"/>
        <v>0</v>
      </c>
      <c r="AW110" s="42">
        <f t="shared" si="147"/>
        <v>0</v>
      </c>
      <c r="AX110" s="42">
        <f t="shared" si="148"/>
        <v>0</v>
      </c>
      <c r="AY110" s="42">
        <f t="shared" si="149"/>
        <v>0</v>
      </c>
      <c r="AZ110" s="42">
        <f t="shared" si="150"/>
        <v>0</v>
      </c>
      <c r="BA110" s="42">
        <f t="shared" si="151"/>
        <v>0</v>
      </c>
      <c r="BB110" s="42">
        <f t="shared" si="152"/>
        <v>0</v>
      </c>
      <c r="BC110" s="42">
        <f t="shared" si="153"/>
        <v>0</v>
      </c>
      <c r="BD110" s="42">
        <f t="shared" si="154"/>
        <v>0</v>
      </c>
      <c r="BE110" s="42">
        <f t="shared" si="155"/>
        <v>0</v>
      </c>
      <c r="BF110" s="42">
        <f t="shared" si="156"/>
        <v>0</v>
      </c>
      <c r="BG110" s="42">
        <f t="shared" si="157"/>
        <v>0</v>
      </c>
      <c r="BH110" s="42">
        <f t="shared" si="158"/>
        <v>0</v>
      </c>
      <c r="BI110" s="42">
        <f t="shared" si="159"/>
        <v>0</v>
      </c>
    </row>
    <row r="111" spans="1:61" x14ac:dyDescent="0.25">
      <c r="A111" s="477"/>
      <c r="B111" s="21" t="s">
        <v>161</v>
      </c>
      <c r="C111" s="1" t="str">
        <f t="shared" si="254"/>
        <v>1/3</v>
      </c>
      <c r="D111" s="1" t="str">
        <f>IF(IF((COUNTIF(Professional_Skill_Options,'Skill Workbook'!B111)&gt;0),INDEX(Professional_Skill_Choices,MATCH(B111,Professional_Skill_Options,0)),FALSE),"X","")</f>
        <v/>
      </c>
      <c r="E111" s="1" t="str">
        <f>IF(IF((COUNTIF(Professional_Skill_Options,'Skill Workbook'!B111)&gt;0),INDEX(Professional_Skill_Knacks,MATCH(B111,Professional_Skill_Options,0)),FALSE),"X","")</f>
        <v/>
      </c>
      <c r="F111" t="s">
        <v>162</v>
      </c>
      <c r="G111" s="474" t="str">
        <f>'Base Details'!O125</f>
        <v>Language 2</v>
      </c>
      <c r="H111" s="199"/>
      <c r="I111" s="1" t="s">
        <v>160</v>
      </c>
      <c r="J111" s="1">
        <f>'Base Details'!J125</f>
        <v>0</v>
      </c>
      <c r="AE111" s="1">
        <f>SUM(K111:INDEX(K111:AD111,Level))+J111-IF(H111="",0,1)</f>
        <v>0</v>
      </c>
      <c r="AF111" s="26">
        <f t="shared" ref="AF111:AF145" si="255">IF(AE111&gt;30,100+AE111,VLOOKUP(AE111,Rank_Bonus,2,FALSE))</f>
        <v>-25</v>
      </c>
      <c r="AG111" s="26" t="e" cm="1">
        <f t="array" aca="1" ref="AG111" ca="1">IF(I111="NA",0,INDIRECT(LEFT(I111,2))+INDIRECT(MID(I111,4,2))+INDIRECT(RIGHT(I111,2)))</f>
        <v>#N/A</v>
      </c>
      <c r="AH111" s="26">
        <f t="shared" si="27"/>
        <v>0</v>
      </c>
      <c r="AI111" s="26">
        <f t="shared" si="28"/>
        <v>0</v>
      </c>
      <c r="AJ111" s="26"/>
      <c r="AK111" s="26" t="e">
        <f t="shared" ca="1" si="138"/>
        <v>#N/A</v>
      </c>
      <c r="AL111" s="32" t="e">
        <f t="shared" ca="1" si="184"/>
        <v>#N/A</v>
      </c>
      <c r="AP111" s="42">
        <f t="shared" ref="AP111:AP145" si="256">_xlfn.NUMBERVALUE(IF(K111=0,0,IF(K111=1,LEFT($C111,FIND("/",$C111)-1),SUM(LEFT($C111,FIND("/",$C111)-1),RIGHT($C111,LEN($C111)-FIND("/",$C111))))))</f>
        <v>0</v>
      </c>
      <c r="AQ111" s="42">
        <f t="shared" ref="AQ111:AQ145" si="257">_xlfn.NUMBERVALUE(IF(L111=0,0,IF(L111=1,LEFT($C111,FIND("/",$C111)-1),SUM(LEFT($C111,FIND("/",$C111)-1),RIGHT($C111,LEN($C111)-FIND("/",$C111))))))</f>
        <v>0</v>
      </c>
      <c r="AR111" s="42">
        <f t="shared" ref="AR111:AR145" si="258">_xlfn.NUMBERVALUE(IF(M111=0,0,IF(M111=1,LEFT($C111,FIND("/",$C111)-1),SUM(LEFT($C111,FIND("/",$C111)-1),RIGHT($C111,LEN($C111)-FIND("/",$C111))))))</f>
        <v>0</v>
      </c>
      <c r="AS111" s="42">
        <f t="shared" ref="AS111:AS145" si="259">_xlfn.NUMBERVALUE(IF(N111=0,0,IF(N111=1,LEFT($C111,FIND("/",$C111)-1),SUM(LEFT($C111,FIND("/",$C111)-1),RIGHT($C111,LEN($C111)-FIND("/",$C111))))))</f>
        <v>0</v>
      </c>
      <c r="AT111" s="42">
        <f t="shared" ref="AT111:AT145" si="260">_xlfn.NUMBERVALUE(IF(O111=0,0,IF(O111=1,LEFT($C111,FIND("/",$C111)-1),SUM(LEFT($C111,FIND("/",$C111)-1),RIGHT($C111,LEN($C111)-FIND("/",$C111))))))</f>
        <v>0</v>
      </c>
      <c r="AU111" s="42">
        <f t="shared" ref="AU111:AU145" si="261">_xlfn.NUMBERVALUE(IF(P111=0,0,IF(P111=1,LEFT($C111,FIND("/",$C111)-1),SUM(LEFT($C111,FIND("/",$C111)-1),RIGHT($C111,LEN($C111)-FIND("/",$C111))))))</f>
        <v>0</v>
      </c>
      <c r="AV111" s="42">
        <f t="shared" ref="AV111:AV145" si="262">_xlfn.NUMBERVALUE(IF(Q111=0,0,IF(Q111=1,LEFT($C111,FIND("/",$C111)-1),SUM(LEFT($C111,FIND("/",$C111)-1),RIGHT($C111,LEN($C111)-FIND("/",$C111))))))</f>
        <v>0</v>
      </c>
      <c r="AW111" s="42">
        <f t="shared" ref="AW111:AW145" si="263">_xlfn.NUMBERVALUE(IF(R111=0,0,IF(R111=1,LEFT($C111,FIND("/",$C111)-1),SUM(LEFT($C111,FIND("/",$C111)-1),RIGHT($C111,LEN($C111)-FIND("/",$C111))))))</f>
        <v>0</v>
      </c>
      <c r="AX111" s="42">
        <f t="shared" ref="AX111:AX145" si="264">_xlfn.NUMBERVALUE(IF(S111=0,0,IF(S111=1,LEFT($C111,FIND("/",$C111)-1),SUM(LEFT($C111,FIND("/",$C111)-1),RIGHT($C111,LEN($C111)-FIND("/",$C111))))))</f>
        <v>0</v>
      </c>
      <c r="AY111" s="42">
        <f t="shared" ref="AY111:AY145" si="265">_xlfn.NUMBERVALUE(IF(T111=0,0,IF(T111=1,LEFT($C111,FIND("/",$C111)-1),SUM(LEFT($C111,FIND("/",$C111)-1),RIGHT($C111,LEN($C111)-FIND("/",$C111))))))</f>
        <v>0</v>
      </c>
      <c r="AZ111" s="42">
        <f t="shared" ref="AZ111:AZ145" si="266">_xlfn.NUMBERVALUE(IF(U111=0,0,IF(U111=1,LEFT($C111,FIND("/",$C111)-1),SUM(LEFT($C111,FIND("/",$C111)-1),RIGHT($C111,LEN($C111)-FIND("/",$C111))))))</f>
        <v>0</v>
      </c>
      <c r="BA111" s="42">
        <f t="shared" ref="BA111:BA145" si="267">_xlfn.NUMBERVALUE(IF(V111=0,0,IF(V111=1,LEFT($C111,FIND("/",$C111)-1),SUM(LEFT($C111,FIND("/",$C111)-1),RIGHT($C111,LEN($C111)-FIND("/",$C111))))))</f>
        <v>0</v>
      </c>
      <c r="BB111" s="42">
        <f t="shared" ref="BB111:BB145" si="268">_xlfn.NUMBERVALUE(IF(W111=0,0,IF(W111=1,LEFT($C111,FIND("/",$C111)-1),SUM(LEFT($C111,FIND("/",$C111)-1),RIGHT($C111,LEN($C111)-FIND("/",$C111))))))</f>
        <v>0</v>
      </c>
      <c r="BC111" s="42">
        <f t="shared" ref="BC111:BC145" si="269">_xlfn.NUMBERVALUE(IF(X111=0,0,IF(X111=1,LEFT($C111,FIND("/",$C111)-1),SUM(LEFT($C111,FIND("/",$C111)-1),RIGHT($C111,LEN($C111)-FIND("/",$C111))))))</f>
        <v>0</v>
      </c>
      <c r="BD111" s="42">
        <f t="shared" ref="BD111:BD145" si="270">_xlfn.NUMBERVALUE(IF(Y111=0,0,IF(Y111=1,LEFT($C111,FIND("/",$C111)-1),SUM(LEFT($C111,FIND("/",$C111)-1),RIGHT($C111,LEN($C111)-FIND("/",$C111))))))</f>
        <v>0</v>
      </c>
      <c r="BE111" s="42">
        <f t="shared" ref="BE111:BE145" si="271">_xlfn.NUMBERVALUE(IF(Z111=0,0,IF(Z111=1,LEFT($C111,FIND("/",$C111)-1),SUM(LEFT($C111,FIND("/",$C111)-1),RIGHT($C111,LEN($C111)-FIND("/",$C111))))))</f>
        <v>0</v>
      </c>
      <c r="BF111" s="42">
        <f t="shared" ref="BF111:BF145" si="272">_xlfn.NUMBERVALUE(IF(AA111=0,0,IF(AA111=1,LEFT($C111,FIND("/",$C111)-1),SUM(LEFT($C111,FIND("/",$C111)-1),RIGHT($C111,LEN($C111)-FIND("/",$C111))))))</f>
        <v>0</v>
      </c>
      <c r="BG111" s="42">
        <f t="shared" ref="BG111:BG145" si="273">_xlfn.NUMBERVALUE(IF(AB111=0,0,IF(AB111=1,LEFT($C111,FIND("/",$C111)-1),SUM(LEFT($C111,FIND("/",$C111)-1),RIGHT($C111,LEN($C111)-FIND("/",$C111))))))</f>
        <v>0</v>
      </c>
      <c r="BH111" s="42">
        <f t="shared" ref="BH111:BH145" si="274">_xlfn.NUMBERVALUE(IF(AC111=0,0,IF(AC111=1,LEFT($C111,FIND("/",$C111)-1),SUM(LEFT($C111,FIND("/",$C111)-1),RIGHT($C111,LEN($C111)-FIND("/",$C111))))))</f>
        <v>0</v>
      </c>
      <c r="BI111" s="42">
        <f t="shared" ref="BI111:BI145" si="275">_xlfn.NUMBERVALUE(IF(AD111=0,0,IF(AD111=1,LEFT($C111,FIND("/",$C111)-1),SUM(LEFT($C111,FIND("/",$C111)-1),RIGHT($C111,LEN($C111)-FIND("/",$C111))))))</f>
        <v>0</v>
      </c>
    </row>
    <row r="112" spans="1:61" x14ac:dyDescent="0.25">
      <c r="A112" s="477"/>
      <c r="B112" s="21" t="s">
        <v>161</v>
      </c>
      <c r="C112" s="1" t="str">
        <f t="shared" si="254"/>
        <v>1/3</v>
      </c>
      <c r="D112" s="1" t="str">
        <f>IF(IF((COUNTIF(Professional_Skill_Options,'Skill Workbook'!B112)&gt;0),INDEX(Professional_Skill_Choices,MATCH(B112,Professional_Skill_Options,0)),FALSE),"X","")</f>
        <v/>
      </c>
      <c r="E112" s="1" t="str">
        <f>IF(IF((COUNTIF(Professional_Skill_Options,'Skill Workbook'!B112)&gt;0),INDEX(Professional_Skill_Knacks,MATCH(B112,Professional_Skill_Options,0)),FALSE),"X","")</f>
        <v/>
      </c>
      <c r="F112" t="s">
        <v>163</v>
      </c>
      <c r="G112" s="474"/>
      <c r="H112" s="199"/>
      <c r="I112" s="1" t="s">
        <v>160</v>
      </c>
      <c r="J112" s="1">
        <f>'Base Details'!J126</f>
        <v>0</v>
      </c>
      <c r="AE112" s="1">
        <f>SUM(K112:INDEX(K112:AD112,Level))+J112-IF(H112="",0,1)</f>
        <v>0</v>
      </c>
      <c r="AF112" s="26">
        <f t="shared" si="255"/>
        <v>-25</v>
      </c>
      <c r="AG112" s="26" t="e" cm="1">
        <f t="array" aca="1" ref="AG112" ca="1">IF(I112="NA",0,INDIRECT(LEFT(I112,2))+INDIRECT(MID(I112,4,2))+INDIRECT(RIGHT(I112,2)))</f>
        <v>#N/A</v>
      </c>
      <c r="AH112" s="26">
        <f t="shared" ref="AH112:AH176" si="276">IF(D112="X",MIN(30,AE112),0)</f>
        <v>0</v>
      </c>
      <c r="AI112" s="26">
        <f t="shared" ref="AI112:AI176" si="277">IF(E112="X",5,0)</f>
        <v>0</v>
      </c>
      <c r="AJ112" s="26"/>
      <c r="AK112" s="26" t="e">
        <f t="shared" ca="1" si="138"/>
        <v>#N/A</v>
      </c>
      <c r="AL112" s="32" t="e">
        <f t="shared" ca="1" si="184"/>
        <v>#N/A</v>
      </c>
      <c r="AP112" s="42">
        <f t="shared" si="256"/>
        <v>0</v>
      </c>
      <c r="AQ112" s="42">
        <f t="shared" si="257"/>
        <v>0</v>
      </c>
      <c r="AR112" s="42">
        <f t="shared" si="258"/>
        <v>0</v>
      </c>
      <c r="AS112" s="42">
        <f t="shared" si="259"/>
        <v>0</v>
      </c>
      <c r="AT112" s="42">
        <f t="shared" si="260"/>
        <v>0</v>
      </c>
      <c r="AU112" s="42">
        <f t="shared" si="261"/>
        <v>0</v>
      </c>
      <c r="AV112" s="42">
        <f t="shared" si="262"/>
        <v>0</v>
      </c>
      <c r="AW112" s="42">
        <f t="shared" si="263"/>
        <v>0</v>
      </c>
      <c r="AX112" s="42">
        <f t="shared" si="264"/>
        <v>0</v>
      </c>
      <c r="AY112" s="42">
        <f t="shared" si="265"/>
        <v>0</v>
      </c>
      <c r="AZ112" s="42">
        <f t="shared" si="266"/>
        <v>0</v>
      </c>
      <c r="BA112" s="42">
        <f t="shared" si="267"/>
        <v>0</v>
      </c>
      <c r="BB112" s="42">
        <f t="shared" si="268"/>
        <v>0</v>
      </c>
      <c r="BC112" s="42">
        <f t="shared" si="269"/>
        <v>0</v>
      </c>
      <c r="BD112" s="42">
        <f t="shared" si="270"/>
        <v>0</v>
      </c>
      <c r="BE112" s="42">
        <f t="shared" si="271"/>
        <v>0</v>
      </c>
      <c r="BF112" s="42">
        <f t="shared" si="272"/>
        <v>0</v>
      </c>
      <c r="BG112" s="42">
        <f t="shared" si="273"/>
        <v>0</v>
      </c>
      <c r="BH112" s="42">
        <f t="shared" si="274"/>
        <v>0</v>
      </c>
      <c r="BI112" s="42">
        <f t="shared" si="275"/>
        <v>0</v>
      </c>
    </row>
    <row r="113" spans="1:61" x14ac:dyDescent="0.25">
      <c r="A113" s="477"/>
      <c r="B113" s="21" t="s">
        <v>161</v>
      </c>
      <c r="C113" s="1" t="str">
        <f t="shared" si="254"/>
        <v>1/3</v>
      </c>
      <c r="D113" s="1" t="str">
        <f>IF(IF((COUNTIF(Professional_Skill_Options,'Skill Workbook'!B113)&gt;0),INDEX(Professional_Skill_Choices,MATCH(B113,Professional_Skill_Options,0)),FALSE),"X","")</f>
        <v/>
      </c>
      <c r="E113" s="1" t="str">
        <f>IF(IF((COUNTIF(Professional_Skill_Options,'Skill Workbook'!B113)&gt;0),INDEX(Professional_Skill_Knacks,MATCH(B113,Professional_Skill_Options,0)),FALSE),"X","")</f>
        <v/>
      </c>
      <c r="F113" t="s">
        <v>162</v>
      </c>
      <c r="G113" s="474" t="str">
        <f>'Base Details'!O127</f>
        <v>Language 3</v>
      </c>
      <c r="H113" s="199"/>
      <c r="I113" s="1" t="s">
        <v>160</v>
      </c>
      <c r="J113" s="1">
        <f>'Base Details'!J127</f>
        <v>0</v>
      </c>
      <c r="AE113" s="1">
        <f>SUM(K113:INDEX(K113:AD113,Level))+J113-IF(H113="",0,1)</f>
        <v>0</v>
      </c>
      <c r="AF113" s="26">
        <f t="shared" si="255"/>
        <v>-25</v>
      </c>
      <c r="AG113" s="26" t="e" cm="1">
        <f t="array" aca="1" ref="AG113" ca="1">IF(I113="NA",0,INDIRECT(LEFT(I113,2))+INDIRECT(MID(I113,4,2))+INDIRECT(RIGHT(I113,2)))</f>
        <v>#N/A</v>
      </c>
      <c r="AH113" s="26">
        <f t="shared" si="276"/>
        <v>0</v>
      </c>
      <c r="AI113" s="26">
        <f t="shared" si="277"/>
        <v>0</v>
      </c>
      <c r="AJ113" s="26"/>
      <c r="AK113" s="26" t="e">
        <f t="shared" ca="1" si="138"/>
        <v>#N/A</v>
      </c>
      <c r="AL113" s="32" t="e">
        <f t="shared" ca="1" si="184"/>
        <v>#N/A</v>
      </c>
      <c r="AP113" s="42">
        <f t="shared" si="256"/>
        <v>0</v>
      </c>
      <c r="AQ113" s="42">
        <f t="shared" si="257"/>
        <v>0</v>
      </c>
      <c r="AR113" s="42">
        <f t="shared" si="258"/>
        <v>0</v>
      </c>
      <c r="AS113" s="42">
        <f t="shared" si="259"/>
        <v>0</v>
      </c>
      <c r="AT113" s="42">
        <f t="shared" si="260"/>
        <v>0</v>
      </c>
      <c r="AU113" s="42">
        <f t="shared" si="261"/>
        <v>0</v>
      </c>
      <c r="AV113" s="42">
        <f t="shared" si="262"/>
        <v>0</v>
      </c>
      <c r="AW113" s="42">
        <f t="shared" si="263"/>
        <v>0</v>
      </c>
      <c r="AX113" s="42">
        <f t="shared" si="264"/>
        <v>0</v>
      </c>
      <c r="AY113" s="42">
        <f t="shared" si="265"/>
        <v>0</v>
      </c>
      <c r="AZ113" s="42">
        <f t="shared" si="266"/>
        <v>0</v>
      </c>
      <c r="BA113" s="42">
        <f t="shared" si="267"/>
        <v>0</v>
      </c>
      <c r="BB113" s="42">
        <f t="shared" si="268"/>
        <v>0</v>
      </c>
      <c r="BC113" s="42">
        <f t="shared" si="269"/>
        <v>0</v>
      </c>
      <c r="BD113" s="42">
        <f t="shared" si="270"/>
        <v>0</v>
      </c>
      <c r="BE113" s="42">
        <f t="shared" si="271"/>
        <v>0</v>
      </c>
      <c r="BF113" s="42">
        <f t="shared" si="272"/>
        <v>0</v>
      </c>
      <c r="BG113" s="42">
        <f t="shared" si="273"/>
        <v>0</v>
      </c>
      <c r="BH113" s="42">
        <f t="shared" si="274"/>
        <v>0</v>
      </c>
      <c r="BI113" s="42">
        <f t="shared" si="275"/>
        <v>0</v>
      </c>
    </row>
    <row r="114" spans="1:61" x14ac:dyDescent="0.25">
      <c r="A114" s="477"/>
      <c r="B114" s="21" t="s">
        <v>161</v>
      </c>
      <c r="C114" s="1" t="str">
        <f t="shared" si="254"/>
        <v>1/3</v>
      </c>
      <c r="D114" s="1" t="str">
        <f>IF(IF((COUNTIF(Professional_Skill_Options,'Skill Workbook'!B114)&gt;0),INDEX(Professional_Skill_Choices,MATCH(B114,Professional_Skill_Options,0)),FALSE),"X","")</f>
        <v/>
      </c>
      <c r="E114" s="1" t="str">
        <f>IF(IF((COUNTIF(Professional_Skill_Options,'Skill Workbook'!B114)&gt;0),INDEX(Professional_Skill_Knacks,MATCH(B114,Professional_Skill_Options,0)),FALSE),"X","")</f>
        <v/>
      </c>
      <c r="F114" t="s">
        <v>163</v>
      </c>
      <c r="G114" s="474"/>
      <c r="H114" s="199"/>
      <c r="I114" s="1" t="s">
        <v>160</v>
      </c>
      <c r="J114" s="1">
        <f>'Base Details'!J128</f>
        <v>0</v>
      </c>
      <c r="AE114" s="1">
        <f>SUM(K114:INDEX(K114:AD114,Level))+J114-IF(H114="",0,1)</f>
        <v>0</v>
      </c>
      <c r="AF114" s="26">
        <f t="shared" si="255"/>
        <v>-25</v>
      </c>
      <c r="AG114" s="26" t="e" cm="1">
        <f t="array" aca="1" ref="AG114" ca="1">IF(I114="NA",0,INDIRECT(LEFT(I114,2))+INDIRECT(MID(I114,4,2))+INDIRECT(RIGHT(I114,2)))</f>
        <v>#N/A</v>
      </c>
      <c r="AH114" s="26">
        <f t="shared" si="276"/>
        <v>0</v>
      </c>
      <c r="AI114" s="26">
        <f t="shared" si="277"/>
        <v>0</v>
      </c>
      <c r="AJ114" s="26"/>
      <c r="AK114" s="26" t="e">
        <f t="shared" ca="1" si="138"/>
        <v>#N/A</v>
      </c>
      <c r="AL114" s="32" t="e">
        <f t="shared" ca="1" si="184"/>
        <v>#N/A</v>
      </c>
      <c r="AP114" s="42">
        <f t="shared" si="256"/>
        <v>0</v>
      </c>
      <c r="AQ114" s="42">
        <f t="shared" si="257"/>
        <v>0</v>
      </c>
      <c r="AR114" s="42">
        <f t="shared" si="258"/>
        <v>0</v>
      </c>
      <c r="AS114" s="42">
        <f t="shared" si="259"/>
        <v>0</v>
      </c>
      <c r="AT114" s="42">
        <f t="shared" si="260"/>
        <v>0</v>
      </c>
      <c r="AU114" s="42">
        <f t="shared" si="261"/>
        <v>0</v>
      </c>
      <c r="AV114" s="42">
        <f t="shared" si="262"/>
        <v>0</v>
      </c>
      <c r="AW114" s="42">
        <f t="shared" si="263"/>
        <v>0</v>
      </c>
      <c r="AX114" s="42">
        <f t="shared" si="264"/>
        <v>0</v>
      </c>
      <c r="AY114" s="42">
        <f t="shared" si="265"/>
        <v>0</v>
      </c>
      <c r="AZ114" s="42">
        <f t="shared" si="266"/>
        <v>0</v>
      </c>
      <c r="BA114" s="42">
        <f t="shared" si="267"/>
        <v>0</v>
      </c>
      <c r="BB114" s="42">
        <f t="shared" si="268"/>
        <v>0</v>
      </c>
      <c r="BC114" s="42">
        <f t="shared" si="269"/>
        <v>0</v>
      </c>
      <c r="BD114" s="42">
        <f t="shared" si="270"/>
        <v>0</v>
      </c>
      <c r="BE114" s="42">
        <f t="shared" si="271"/>
        <v>0</v>
      </c>
      <c r="BF114" s="42">
        <f t="shared" si="272"/>
        <v>0</v>
      </c>
      <c r="BG114" s="42">
        <f t="shared" si="273"/>
        <v>0</v>
      </c>
      <c r="BH114" s="42">
        <f t="shared" si="274"/>
        <v>0</v>
      </c>
      <c r="BI114" s="42">
        <f t="shared" si="275"/>
        <v>0</v>
      </c>
    </row>
    <row r="115" spans="1:61" x14ac:dyDescent="0.25">
      <c r="A115" s="477"/>
      <c r="B115" s="21" t="s">
        <v>161</v>
      </c>
      <c r="C115" s="1" t="str">
        <f t="shared" si="254"/>
        <v>1/3</v>
      </c>
      <c r="D115" s="1" t="str">
        <f>IF(IF((COUNTIF(Professional_Skill_Options,'Skill Workbook'!B115)&gt;0),INDEX(Professional_Skill_Choices,MATCH(B115,Professional_Skill_Options,0)),FALSE),"X","")</f>
        <v/>
      </c>
      <c r="E115" s="1" t="str">
        <f>IF(IF((COUNTIF(Professional_Skill_Options,'Skill Workbook'!B115)&gt;0),INDEX(Professional_Skill_Knacks,MATCH(B115,Professional_Skill_Options,0)),FALSE),"X","")</f>
        <v/>
      </c>
      <c r="F115" t="s">
        <v>162</v>
      </c>
      <c r="G115" s="474" t="str">
        <f>'Base Details'!O129</f>
        <v>Language 4</v>
      </c>
      <c r="H115" s="199"/>
      <c r="I115" s="1" t="s">
        <v>160</v>
      </c>
      <c r="J115" s="1">
        <f>'Base Details'!J129</f>
        <v>0</v>
      </c>
      <c r="AE115" s="1">
        <f>SUM(K115:INDEX(K115:AD115,Level))+J115-IF(H115="",0,1)</f>
        <v>0</v>
      </c>
      <c r="AF115" s="26">
        <f>IF(AE115&gt;30,100+AE115,VLOOKUP(AE115,Rank_Bonus,2,FALSE))</f>
        <v>-25</v>
      </c>
      <c r="AG115" s="26" t="e" cm="1">
        <f t="array" aca="1" ref="AG115" ca="1">IF(I115="NA",0,INDIRECT(LEFT(I115,2))+INDIRECT(MID(I115,4,2))+INDIRECT(RIGHT(I115,2)))</f>
        <v>#N/A</v>
      </c>
      <c r="AH115" s="26">
        <f>IF(D115="X",MIN(30,AE115),0)</f>
        <v>0</v>
      </c>
      <c r="AI115" s="26">
        <f>IF(E115="X",5,0)</f>
        <v>0</v>
      </c>
      <c r="AJ115" s="26"/>
      <c r="AK115" s="26" t="e">
        <f t="shared" ca="1" si="138"/>
        <v>#N/A</v>
      </c>
      <c r="AL115" s="32" t="e">
        <f t="shared" ca="1" si="184"/>
        <v>#N/A</v>
      </c>
      <c r="AP115" s="42">
        <f t="shared" ref="AP115:AY118" si="278">_xlfn.NUMBERVALUE(IF(K115=0,0,IF(K115=1,LEFT($C115,FIND("/",$C115)-1),SUM(LEFT($C115,FIND("/",$C115)-1),RIGHT($C115,LEN($C115)-FIND("/",$C115))))))</f>
        <v>0</v>
      </c>
      <c r="AQ115" s="42">
        <f t="shared" si="278"/>
        <v>0</v>
      </c>
      <c r="AR115" s="42">
        <f t="shared" si="278"/>
        <v>0</v>
      </c>
      <c r="AS115" s="42">
        <f t="shared" si="278"/>
        <v>0</v>
      </c>
      <c r="AT115" s="42">
        <f t="shared" si="278"/>
        <v>0</v>
      </c>
      <c r="AU115" s="42">
        <f t="shared" si="278"/>
        <v>0</v>
      </c>
      <c r="AV115" s="42">
        <f t="shared" si="278"/>
        <v>0</v>
      </c>
      <c r="AW115" s="42">
        <f t="shared" si="278"/>
        <v>0</v>
      </c>
      <c r="AX115" s="42">
        <f t="shared" si="278"/>
        <v>0</v>
      </c>
      <c r="AY115" s="42">
        <f t="shared" si="278"/>
        <v>0</v>
      </c>
      <c r="AZ115" s="42">
        <f t="shared" si="266"/>
        <v>0</v>
      </c>
      <c r="BA115" s="42">
        <f t="shared" si="267"/>
        <v>0</v>
      </c>
      <c r="BB115" s="42">
        <f t="shared" si="268"/>
        <v>0</v>
      </c>
      <c r="BC115" s="42">
        <f t="shared" si="269"/>
        <v>0</v>
      </c>
      <c r="BD115" s="42">
        <f t="shared" si="270"/>
        <v>0</v>
      </c>
      <c r="BE115" s="42">
        <f t="shared" si="271"/>
        <v>0</v>
      </c>
      <c r="BF115" s="42">
        <f t="shared" si="272"/>
        <v>0</v>
      </c>
      <c r="BG115" s="42">
        <f t="shared" si="273"/>
        <v>0</v>
      </c>
      <c r="BH115" s="42">
        <f t="shared" si="274"/>
        <v>0</v>
      </c>
      <c r="BI115" s="42">
        <f t="shared" si="275"/>
        <v>0</v>
      </c>
    </row>
    <row r="116" spans="1:61" x14ac:dyDescent="0.25">
      <c r="A116" s="477"/>
      <c r="B116" s="21" t="s">
        <v>161</v>
      </c>
      <c r="C116" s="1" t="str">
        <f t="shared" si="254"/>
        <v>1/3</v>
      </c>
      <c r="D116" s="1" t="str">
        <f>IF(IF((COUNTIF(Professional_Skill_Options,'Skill Workbook'!B116)&gt;0),INDEX(Professional_Skill_Choices,MATCH(B116,Professional_Skill_Options,0)),FALSE),"X","")</f>
        <v/>
      </c>
      <c r="E116" s="1" t="str">
        <f>IF(IF((COUNTIF(Professional_Skill_Options,'Skill Workbook'!B116)&gt;0),INDEX(Professional_Skill_Knacks,MATCH(B116,Professional_Skill_Options,0)),FALSE),"X","")</f>
        <v/>
      </c>
      <c r="F116" t="s">
        <v>163</v>
      </c>
      <c r="G116" s="474"/>
      <c r="H116" s="199"/>
      <c r="I116" s="1" t="s">
        <v>160</v>
      </c>
      <c r="J116" s="1">
        <f>'Base Details'!J130</f>
        <v>0</v>
      </c>
      <c r="AE116" s="1">
        <f>SUM(K116:INDEX(K116:AD116,Level))+J116-IF(H116="",0,1)</f>
        <v>0</v>
      </c>
      <c r="AF116" s="26">
        <f>IF(AE116&gt;30,100+AE116,VLOOKUP(AE116,Rank_Bonus,2,FALSE))</f>
        <v>-25</v>
      </c>
      <c r="AG116" s="26" t="e" cm="1">
        <f t="array" aca="1" ref="AG116" ca="1">IF(I116="NA",0,INDIRECT(LEFT(I116,2))+INDIRECT(MID(I116,4,2))+INDIRECT(RIGHT(I116,2)))</f>
        <v>#N/A</v>
      </c>
      <c r="AH116" s="26">
        <f>IF(D116="X",MIN(30,AE116),0)</f>
        <v>0</v>
      </c>
      <c r="AI116" s="26">
        <f>IF(E116="X",5,0)</f>
        <v>0</v>
      </c>
      <c r="AJ116" s="26"/>
      <c r="AK116" s="26" t="e">
        <f t="shared" ca="1" si="138"/>
        <v>#N/A</v>
      </c>
      <c r="AL116" s="32" t="e">
        <f t="shared" ca="1" si="184"/>
        <v>#N/A</v>
      </c>
      <c r="AP116" s="42">
        <f t="shared" si="278"/>
        <v>0</v>
      </c>
      <c r="AQ116" s="42">
        <f t="shared" si="278"/>
        <v>0</v>
      </c>
      <c r="AR116" s="42">
        <f t="shared" si="278"/>
        <v>0</v>
      </c>
      <c r="AS116" s="42">
        <f t="shared" si="278"/>
        <v>0</v>
      </c>
      <c r="AT116" s="42">
        <f t="shared" si="278"/>
        <v>0</v>
      </c>
      <c r="AU116" s="42">
        <f t="shared" si="278"/>
        <v>0</v>
      </c>
      <c r="AV116" s="42">
        <f t="shared" si="278"/>
        <v>0</v>
      </c>
      <c r="AW116" s="42">
        <f t="shared" si="278"/>
        <v>0</v>
      </c>
      <c r="AX116" s="42">
        <f t="shared" si="278"/>
        <v>0</v>
      </c>
      <c r="AY116" s="42">
        <f t="shared" si="278"/>
        <v>0</v>
      </c>
      <c r="AZ116" s="42">
        <f t="shared" si="266"/>
        <v>0</v>
      </c>
      <c r="BA116" s="42">
        <f t="shared" si="267"/>
        <v>0</v>
      </c>
      <c r="BB116" s="42">
        <f t="shared" si="268"/>
        <v>0</v>
      </c>
      <c r="BC116" s="42">
        <f t="shared" si="269"/>
        <v>0</v>
      </c>
      <c r="BD116" s="42">
        <f t="shared" si="270"/>
        <v>0</v>
      </c>
      <c r="BE116" s="42">
        <f t="shared" si="271"/>
        <v>0</v>
      </c>
      <c r="BF116" s="42">
        <f t="shared" si="272"/>
        <v>0</v>
      </c>
      <c r="BG116" s="42">
        <f t="shared" si="273"/>
        <v>0</v>
      </c>
      <c r="BH116" s="42">
        <f t="shared" si="274"/>
        <v>0</v>
      </c>
      <c r="BI116" s="42">
        <f t="shared" si="275"/>
        <v>0</v>
      </c>
    </row>
    <row r="117" spans="1:61" x14ac:dyDescent="0.25">
      <c r="A117" s="477"/>
      <c r="B117" s="21" t="s">
        <v>161</v>
      </c>
      <c r="C117" s="1" t="str">
        <f t="shared" si="254"/>
        <v>1/3</v>
      </c>
      <c r="D117" s="1" t="str">
        <f>IF(IF((COUNTIF(Professional_Skill_Options,'Skill Workbook'!B117)&gt;0),INDEX(Professional_Skill_Choices,MATCH(B117,Professional_Skill_Options,0)),FALSE),"X","")</f>
        <v/>
      </c>
      <c r="E117" s="1" t="str">
        <f>IF(IF((COUNTIF(Professional_Skill_Options,'Skill Workbook'!B117)&gt;0),INDEX(Professional_Skill_Knacks,MATCH(B117,Professional_Skill_Options,0)),FALSE),"X","")</f>
        <v/>
      </c>
      <c r="F117" t="s">
        <v>162</v>
      </c>
      <c r="G117" s="474" t="str">
        <f>'Base Details'!O131</f>
        <v>Language 5</v>
      </c>
      <c r="H117" s="199"/>
      <c r="I117" s="1" t="s">
        <v>160</v>
      </c>
      <c r="J117" s="1">
        <f>'Base Details'!J131</f>
        <v>0</v>
      </c>
      <c r="AE117" s="1">
        <f>SUM(K117:INDEX(K117:AD117,Level))+J117-IF(H117="",0,1)</f>
        <v>0</v>
      </c>
      <c r="AF117" s="26">
        <f>IF(AE117&gt;30,100+AE117,VLOOKUP(AE117,Rank_Bonus,2,FALSE))</f>
        <v>-25</v>
      </c>
      <c r="AG117" s="26" t="e" cm="1">
        <f t="array" aca="1" ref="AG117" ca="1">IF(I117="NA",0,INDIRECT(LEFT(I117,2))+INDIRECT(MID(I117,4,2))+INDIRECT(RIGHT(I117,2)))</f>
        <v>#N/A</v>
      </c>
      <c r="AH117" s="26">
        <f>IF(D117="X",MIN(30,AE117),0)</f>
        <v>0</v>
      </c>
      <c r="AI117" s="26">
        <f>IF(E117="X",5,0)</f>
        <v>0</v>
      </c>
      <c r="AJ117" s="26"/>
      <c r="AK117" s="26" t="e">
        <f t="shared" ca="1" si="138"/>
        <v>#N/A</v>
      </c>
      <c r="AL117" s="32" t="e">
        <f t="shared" ca="1" si="184"/>
        <v>#N/A</v>
      </c>
      <c r="AP117" s="42">
        <f t="shared" si="278"/>
        <v>0</v>
      </c>
      <c r="AQ117" s="42">
        <f t="shared" si="278"/>
        <v>0</v>
      </c>
      <c r="AR117" s="42">
        <f t="shared" si="278"/>
        <v>0</v>
      </c>
      <c r="AS117" s="42">
        <f t="shared" si="278"/>
        <v>0</v>
      </c>
      <c r="AT117" s="42">
        <f t="shared" si="278"/>
        <v>0</v>
      </c>
      <c r="AU117" s="42">
        <f t="shared" si="278"/>
        <v>0</v>
      </c>
      <c r="AV117" s="42">
        <f t="shared" si="278"/>
        <v>0</v>
      </c>
      <c r="AW117" s="42">
        <f t="shared" si="278"/>
        <v>0</v>
      </c>
      <c r="AX117" s="42">
        <f t="shared" si="278"/>
        <v>0</v>
      </c>
      <c r="AY117" s="42">
        <f t="shared" si="278"/>
        <v>0</v>
      </c>
      <c r="AZ117" s="42">
        <f t="shared" si="266"/>
        <v>0</v>
      </c>
      <c r="BA117" s="42">
        <f t="shared" si="267"/>
        <v>0</v>
      </c>
      <c r="BB117" s="42">
        <f t="shared" si="268"/>
        <v>0</v>
      </c>
      <c r="BC117" s="42">
        <f t="shared" si="269"/>
        <v>0</v>
      </c>
      <c r="BD117" s="42">
        <f t="shared" si="270"/>
        <v>0</v>
      </c>
      <c r="BE117" s="42">
        <f t="shared" si="271"/>
        <v>0</v>
      </c>
      <c r="BF117" s="42">
        <f t="shared" si="272"/>
        <v>0</v>
      </c>
      <c r="BG117" s="42">
        <f t="shared" si="273"/>
        <v>0</v>
      </c>
      <c r="BH117" s="42">
        <f t="shared" si="274"/>
        <v>0</v>
      </c>
      <c r="BI117" s="42">
        <f t="shared" si="275"/>
        <v>0</v>
      </c>
    </row>
    <row r="118" spans="1:61" x14ac:dyDescent="0.25">
      <c r="A118" s="477"/>
      <c r="B118" s="21" t="s">
        <v>161</v>
      </c>
      <c r="C118" s="1" t="str">
        <f t="shared" si="254"/>
        <v>1/3</v>
      </c>
      <c r="D118" s="1" t="str">
        <f>IF(IF((COUNTIF(Professional_Skill_Options,'Skill Workbook'!B118)&gt;0),INDEX(Professional_Skill_Choices,MATCH(B118,Professional_Skill_Options,0)),FALSE),"X","")</f>
        <v/>
      </c>
      <c r="E118" s="1" t="str">
        <f>IF(IF((COUNTIF(Professional_Skill_Options,'Skill Workbook'!B118)&gt;0),INDEX(Professional_Skill_Knacks,MATCH(B118,Professional_Skill_Options,0)),FALSE),"X","")</f>
        <v/>
      </c>
      <c r="F118" t="s">
        <v>163</v>
      </c>
      <c r="G118" s="474"/>
      <c r="H118" s="199"/>
      <c r="I118" s="1" t="s">
        <v>160</v>
      </c>
      <c r="J118" s="1">
        <f>'Base Details'!J132</f>
        <v>0</v>
      </c>
      <c r="AE118" s="1">
        <f>SUM(K118:INDEX(K118:AD118,Level))+J118-IF(H118="",0,1)</f>
        <v>0</v>
      </c>
      <c r="AF118" s="26">
        <f>IF(AE118&gt;30,100+AE118,VLOOKUP(AE118,Rank_Bonus,2,FALSE))</f>
        <v>-25</v>
      </c>
      <c r="AG118" s="26" t="e" cm="1">
        <f t="array" aca="1" ref="AG118" ca="1">IF(I118="NA",0,INDIRECT(LEFT(I118,2))+INDIRECT(MID(I118,4,2))+INDIRECT(RIGHT(I118,2)))</f>
        <v>#N/A</v>
      </c>
      <c r="AH118" s="26">
        <f>IF(D118="X",MIN(30,AE118),0)</f>
        <v>0</v>
      </c>
      <c r="AI118" s="26">
        <f>IF(E118="X",5,0)</f>
        <v>0</v>
      </c>
      <c r="AJ118" s="26"/>
      <c r="AK118" s="26" t="e">
        <f t="shared" ca="1" si="138"/>
        <v>#N/A</v>
      </c>
      <c r="AL118" s="32" t="e">
        <f t="shared" ca="1" si="184"/>
        <v>#N/A</v>
      </c>
      <c r="AP118" s="42">
        <f t="shared" si="278"/>
        <v>0</v>
      </c>
      <c r="AQ118" s="42">
        <f t="shared" si="278"/>
        <v>0</v>
      </c>
      <c r="AR118" s="42">
        <f t="shared" si="278"/>
        <v>0</v>
      </c>
      <c r="AS118" s="42">
        <f t="shared" si="278"/>
        <v>0</v>
      </c>
      <c r="AT118" s="42">
        <f t="shared" si="278"/>
        <v>0</v>
      </c>
      <c r="AU118" s="42">
        <f t="shared" si="278"/>
        <v>0</v>
      </c>
      <c r="AV118" s="42">
        <f t="shared" si="278"/>
        <v>0</v>
      </c>
      <c r="AW118" s="42">
        <f t="shared" si="278"/>
        <v>0</v>
      </c>
      <c r="AX118" s="42">
        <f t="shared" si="278"/>
        <v>0</v>
      </c>
      <c r="AY118" s="42">
        <f t="shared" si="278"/>
        <v>0</v>
      </c>
      <c r="AZ118" s="42">
        <f t="shared" si="266"/>
        <v>0</v>
      </c>
      <c r="BA118" s="42">
        <f t="shared" si="267"/>
        <v>0</v>
      </c>
      <c r="BB118" s="42">
        <f t="shared" si="268"/>
        <v>0</v>
      </c>
      <c r="BC118" s="42">
        <f t="shared" si="269"/>
        <v>0</v>
      </c>
      <c r="BD118" s="42">
        <f t="shared" si="270"/>
        <v>0</v>
      </c>
      <c r="BE118" s="42">
        <f t="shared" si="271"/>
        <v>0</v>
      </c>
      <c r="BF118" s="42">
        <f t="shared" si="272"/>
        <v>0</v>
      </c>
      <c r="BG118" s="42">
        <f t="shared" si="273"/>
        <v>0</v>
      </c>
      <c r="BH118" s="42">
        <f t="shared" si="274"/>
        <v>0</v>
      </c>
      <c r="BI118" s="42">
        <f t="shared" si="275"/>
        <v>0</v>
      </c>
    </row>
    <row r="119" spans="1:61" x14ac:dyDescent="0.25">
      <c r="A119" s="477"/>
      <c r="B119" s="21" t="s">
        <v>161</v>
      </c>
      <c r="C119" s="1" t="str">
        <f t="shared" si="254"/>
        <v>1/3</v>
      </c>
      <c r="D119" s="1" t="str">
        <f>IF(IF((COUNTIF(Professional_Skill_Options,'Skill Workbook'!B119)&gt;0),INDEX(Professional_Skill_Choices,MATCH(B119,Professional_Skill_Options,0)),FALSE),"X","")</f>
        <v/>
      </c>
      <c r="E119" s="1" t="str">
        <f>IF(IF((COUNTIF(Professional_Skill_Options,'Skill Workbook'!B119)&gt;0),INDEX(Professional_Skill_Knacks,MATCH(B119,Professional_Skill_Options,0)),FALSE),"X","")</f>
        <v/>
      </c>
      <c r="F119" t="s">
        <v>162</v>
      </c>
      <c r="G119" s="474"/>
      <c r="H119" s="199"/>
      <c r="I119" s="1" t="s">
        <v>160</v>
      </c>
      <c r="J119" s="46"/>
      <c r="AE119" s="1">
        <f>SUM(K119:INDEX(K119:AD119,Level))+J119-IF(H119="",0,1)</f>
        <v>0</v>
      </c>
      <c r="AF119" s="26">
        <f t="shared" si="255"/>
        <v>-25</v>
      </c>
      <c r="AG119" s="26" t="e" cm="1">
        <f t="array" aca="1" ref="AG119" ca="1">IF(I119="NA",0,INDIRECT(LEFT(I119,2))+INDIRECT(MID(I119,4,2))+INDIRECT(RIGHT(I119,2)))</f>
        <v>#N/A</v>
      </c>
      <c r="AH119" s="26">
        <f t="shared" si="276"/>
        <v>0</v>
      </c>
      <c r="AI119" s="26">
        <f t="shared" si="277"/>
        <v>0</v>
      </c>
      <c r="AJ119" s="26"/>
      <c r="AK119" s="26" t="e">
        <f t="shared" ca="1" si="138"/>
        <v>#N/A</v>
      </c>
      <c r="AL119" s="32" t="e">
        <f t="shared" ca="1" si="184"/>
        <v>#N/A</v>
      </c>
      <c r="AP119" s="42">
        <f t="shared" si="256"/>
        <v>0</v>
      </c>
      <c r="AQ119" s="42">
        <f t="shared" si="257"/>
        <v>0</v>
      </c>
      <c r="AR119" s="42">
        <f t="shared" si="258"/>
        <v>0</v>
      </c>
      <c r="AS119" s="42">
        <f t="shared" si="259"/>
        <v>0</v>
      </c>
      <c r="AT119" s="42">
        <f t="shared" si="260"/>
        <v>0</v>
      </c>
      <c r="AU119" s="42">
        <f t="shared" si="261"/>
        <v>0</v>
      </c>
      <c r="AV119" s="42">
        <f t="shared" si="262"/>
        <v>0</v>
      </c>
      <c r="AW119" s="42">
        <f t="shared" si="263"/>
        <v>0</v>
      </c>
      <c r="AX119" s="42">
        <f t="shared" si="264"/>
        <v>0</v>
      </c>
      <c r="AY119" s="42">
        <f t="shared" si="265"/>
        <v>0</v>
      </c>
      <c r="AZ119" s="42">
        <f t="shared" si="266"/>
        <v>0</v>
      </c>
      <c r="BA119" s="42">
        <f t="shared" si="267"/>
        <v>0</v>
      </c>
      <c r="BB119" s="42">
        <f t="shared" si="268"/>
        <v>0</v>
      </c>
      <c r="BC119" s="42">
        <f t="shared" si="269"/>
        <v>0</v>
      </c>
      <c r="BD119" s="42">
        <f t="shared" si="270"/>
        <v>0</v>
      </c>
      <c r="BE119" s="42">
        <f t="shared" si="271"/>
        <v>0</v>
      </c>
      <c r="BF119" s="42">
        <f t="shared" si="272"/>
        <v>0</v>
      </c>
      <c r="BG119" s="42">
        <f t="shared" si="273"/>
        <v>0</v>
      </c>
      <c r="BH119" s="42">
        <f t="shared" si="274"/>
        <v>0</v>
      </c>
      <c r="BI119" s="42">
        <f t="shared" si="275"/>
        <v>0</v>
      </c>
    </row>
    <row r="120" spans="1:61" x14ac:dyDescent="0.25">
      <c r="A120" s="477"/>
      <c r="B120" s="21" t="s">
        <v>161</v>
      </c>
      <c r="C120" s="1" t="str">
        <f t="shared" si="254"/>
        <v>1/3</v>
      </c>
      <c r="D120" s="1" t="str">
        <f>IF(IF((COUNTIF(Professional_Skill_Options,'Skill Workbook'!B120)&gt;0),INDEX(Professional_Skill_Choices,MATCH(B120,Professional_Skill_Options,0)),FALSE),"X","")</f>
        <v/>
      </c>
      <c r="E120" s="1" t="str">
        <f>IF(IF((COUNTIF(Professional_Skill_Options,'Skill Workbook'!B120)&gt;0),INDEX(Professional_Skill_Knacks,MATCH(B120,Professional_Skill_Options,0)),FALSE),"X","")</f>
        <v/>
      </c>
      <c r="F120" t="s">
        <v>163</v>
      </c>
      <c r="G120" s="474"/>
      <c r="H120" s="199"/>
      <c r="I120" s="1" t="s">
        <v>160</v>
      </c>
      <c r="J120" s="46"/>
      <c r="AE120" s="1">
        <f>SUM(K120:INDEX(K120:AD120,Level))+J120-IF(H120="",0,1)</f>
        <v>0</v>
      </c>
      <c r="AF120" s="26">
        <f t="shared" si="255"/>
        <v>-25</v>
      </c>
      <c r="AG120" s="26" t="e" cm="1">
        <f t="array" aca="1" ref="AG120" ca="1">IF(I120="NA",0,INDIRECT(LEFT(I120,2))+INDIRECT(MID(I120,4,2))+INDIRECT(RIGHT(I120,2)))</f>
        <v>#N/A</v>
      </c>
      <c r="AH120" s="26">
        <f t="shared" si="276"/>
        <v>0</v>
      </c>
      <c r="AI120" s="26">
        <f t="shared" si="277"/>
        <v>0</v>
      </c>
      <c r="AJ120" s="26"/>
      <c r="AK120" s="26" t="e">
        <f t="shared" ca="1" si="138"/>
        <v>#N/A</v>
      </c>
      <c r="AL120" s="32" t="e">
        <f t="shared" ca="1" si="184"/>
        <v>#N/A</v>
      </c>
      <c r="AP120" s="42">
        <f t="shared" si="256"/>
        <v>0</v>
      </c>
      <c r="AQ120" s="42">
        <f t="shared" si="257"/>
        <v>0</v>
      </c>
      <c r="AR120" s="42">
        <f t="shared" si="258"/>
        <v>0</v>
      </c>
      <c r="AS120" s="42">
        <f t="shared" si="259"/>
        <v>0</v>
      </c>
      <c r="AT120" s="42">
        <f t="shared" si="260"/>
        <v>0</v>
      </c>
      <c r="AU120" s="42">
        <f t="shared" si="261"/>
        <v>0</v>
      </c>
      <c r="AV120" s="42">
        <f t="shared" si="262"/>
        <v>0</v>
      </c>
      <c r="AW120" s="42">
        <f t="shared" si="263"/>
        <v>0</v>
      </c>
      <c r="AX120" s="42">
        <f t="shared" si="264"/>
        <v>0</v>
      </c>
      <c r="AY120" s="42">
        <f t="shared" si="265"/>
        <v>0</v>
      </c>
      <c r="AZ120" s="42">
        <f t="shared" si="266"/>
        <v>0</v>
      </c>
      <c r="BA120" s="42">
        <f t="shared" si="267"/>
        <v>0</v>
      </c>
      <c r="BB120" s="42">
        <f t="shared" si="268"/>
        <v>0</v>
      </c>
      <c r="BC120" s="42">
        <f t="shared" si="269"/>
        <v>0</v>
      </c>
      <c r="BD120" s="42">
        <f t="shared" si="270"/>
        <v>0</v>
      </c>
      <c r="BE120" s="42">
        <f t="shared" si="271"/>
        <v>0</v>
      </c>
      <c r="BF120" s="42">
        <f t="shared" si="272"/>
        <v>0</v>
      </c>
      <c r="BG120" s="42">
        <f t="shared" si="273"/>
        <v>0</v>
      </c>
      <c r="BH120" s="42">
        <f t="shared" si="274"/>
        <v>0</v>
      </c>
      <c r="BI120" s="42">
        <f t="shared" si="275"/>
        <v>0</v>
      </c>
    </row>
    <row r="121" spans="1:61" x14ac:dyDescent="0.25">
      <c r="A121" s="477"/>
      <c r="B121" s="21" t="s">
        <v>161</v>
      </c>
      <c r="C121" s="1" t="str">
        <f t="shared" si="254"/>
        <v>1/3</v>
      </c>
      <c r="D121" s="1" t="str">
        <f>IF(IF((COUNTIF(Professional_Skill_Options,'Skill Workbook'!B121)&gt;0),INDEX(Professional_Skill_Choices,MATCH(B121,Professional_Skill_Options,0)),FALSE),"X","")</f>
        <v/>
      </c>
      <c r="E121" s="1" t="str">
        <f>IF(IF((COUNTIF(Professional_Skill_Options,'Skill Workbook'!B121)&gt;0),INDEX(Professional_Skill_Knacks,MATCH(B121,Professional_Skill_Options,0)),FALSE),"X","")</f>
        <v/>
      </c>
      <c r="F121" t="s">
        <v>162</v>
      </c>
      <c r="G121" s="474"/>
      <c r="H121" s="199"/>
      <c r="I121" s="1" t="s">
        <v>160</v>
      </c>
      <c r="J121" s="46"/>
      <c r="AE121" s="1">
        <f>SUM(K121:INDEX(K121:AD121,Level))+J121-IF(H121="",0,1)</f>
        <v>0</v>
      </c>
      <c r="AF121" s="26">
        <f t="shared" si="255"/>
        <v>-25</v>
      </c>
      <c r="AG121" s="26" t="e" cm="1">
        <f t="array" aca="1" ref="AG121" ca="1">IF(I121="NA",0,INDIRECT(LEFT(I121,2))+INDIRECT(MID(I121,4,2))+INDIRECT(RIGHT(I121,2)))</f>
        <v>#N/A</v>
      </c>
      <c r="AH121" s="26">
        <f t="shared" si="276"/>
        <v>0</v>
      </c>
      <c r="AI121" s="26">
        <f t="shared" si="277"/>
        <v>0</v>
      </c>
      <c r="AJ121" s="26"/>
      <c r="AK121" s="26" t="e">
        <f t="shared" ca="1" si="138"/>
        <v>#N/A</v>
      </c>
      <c r="AL121" s="32" t="e">
        <f t="shared" ca="1" si="184"/>
        <v>#N/A</v>
      </c>
      <c r="AP121" s="42">
        <f t="shared" si="256"/>
        <v>0</v>
      </c>
      <c r="AQ121" s="42">
        <f t="shared" si="257"/>
        <v>0</v>
      </c>
      <c r="AR121" s="42">
        <f t="shared" si="258"/>
        <v>0</v>
      </c>
      <c r="AS121" s="42">
        <f t="shared" si="259"/>
        <v>0</v>
      </c>
      <c r="AT121" s="42">
        <f t="shared" si="260"/>
        <v>0</v>
      </c>
      <c r="AU121" s="42">
        <f t="shared" si="261"/>
        <v>0</v>
      </c>
      <c r="AV121" s="42">
        <f t="shared" si="262"/>
        <v>0</v>
      </c>
      <c r="AW121" s="42">
        <f t="shared" si="263"/>
        <v>0</v>
      </c>
      <c r="AX121" s="42">
        <f t="shared" si="264"/>
        <v>0</v>
      </c>
      <c r="AY121" s="42">
        <f t="shared" si="265"/>
        <v>0</v>
      </c>
      <c r="AZ121" s="42">
        <f t="shared" si="266"/>
        <v>0</v>
      </c>
      <c r="BA121" s="42">
        <f t="shared" si="267"/>
        <v>0</v>
      </c>
      <c r="BB121" s="42">
        <f t="shared" si="268"/>
        <v>0</v>
      </c>
      <c r="BC121" s="42">
        <f t="shared" si="269"/>
        <v>0</v>
      </c>
      <c r="BD121" s="42">
        <f t="shared" si="270"/>
        <v>0</v>
      </c>
      <c r="BE121" s="42">
        <f t="shared" si="271"/>
        <v>0</v>
      </c>
      <c r="BF121" s="42">
        <f t="shared" si="272"/>
        <v>0</v>
      </c>
      <c r="BG121" s="42">
        <f t="shared" si="273"/>
        <v>0</v>
      </c>
      <c r="BH121" s="42">
        <f t="shared" si="274"/>
        <v>0</v>
      </c>
      <c r="BI121" s="42">
        <f t="shared" si="275"/>
        <v>0</v>
      </c>
    </row>
    <row r="122" spans="1:61" x14ac:dyDescent="0.25">
      <c r="A122" s="477"/>
      <c r="B122" s="21" t="s">
        <v>161</v>
      </c>
      <c r="C122" s="1" t="str">
        <f t="shared" si="254"/>
        <v>1/3</v>
      </c>
      <c r="D122" s="1" t="str">
        <f>IF(IF((COUNTIF(Professional_Skill_Options,'Skill Workbook'!B122)&gt;0),INDEX(Professional_Skill_Choices,MATCH(B122,Professional_Skill_Options,0)),FALSE),"X","")</f>
        <v/>
      </c>
      <c r="E122" s="1" t="str">
        <f>IF(IF((COUNTIF(Professional_Skill_Options,'Skill Workbook'!B122)&gt;0),INDEX(Professional_Skill_Knacks,MATCH(B122,Professional_Skill_Options,0)),FALSE),"X","")</f>
        <v/>
      </c>
      <c r="F122" t="s">
        <v>163</v>
      </c>
      <c r="G122" s="474"/>
      <c r="H122" s="199"/>
      <c r="I122" s="1" t="s">
        <v>160</v>
      </c>
      <c r="J122" s="46"/>
      <c r="AE122" s="1">
        <f>SUM(K122:INDEX(K122:AD122,Level))+J122-IF(H122="",0,1)</f>
        <v>0</v>
      </c>
      <c r="AF122" s="26">
        <f t="shared" si="255"/>
        <v>-25</v>
      </c>
      <c r="AG122" s="26" t="e" cm="1">
        <f t="array" aca="1" ref="AG122" ca="1">IF(I122="NA",0,INDIRECT(LEFT(I122,2))+INDIRECT(MID(I122,4,2))+INDIRECT(RIGHT(I122,2)))</f>
        <v>#N/A</v>
      </c>
      <c r="AH122" s="26">
        <f t="shared" si="276"/>
        <v>0</v>
      </c>
      <c r="AI122" s="26">
        <f t="shared" si="277"/>
        <v>0</v>
      </c>
      <c r="AJ122" s="26"/>
      <c r="AK122" s="26" t="e">
        <f t="shared" ca="1" si="138"/>
        <v>#N/A</v>
      </c>
      <c r="AL122" s="32" t="e">
        <f t="shared" ca="1" si="184"/>
        <v>#N/A</v>
      </c>
      <c r="AP122" s="42">
        <f t="shared" si="256"/>
        <v>0</v>
      </c>
      <c r="AQ122" s="42">
        <f t="shared" si="257"/>
        <v>0</v>
      </c>
      <c r="AR122" s="42">
        <f t="shared" si="258"/>
        <v>0</v>
      </c>
      <c r="AS122" s="42">
        <f t="shared" si="259"/>
        <v>0</v>
      </c>
      <c r="AT122" s="42">
        <f t="shared" si="260"/>
        <v>0</v>
      </c>
      <c r="AU122" s="42">
        <f t="shared" si="261"/>
        <v>0</v>
      </c>
      <c r="AV122" s="42">
        <f t="shared" si="262"/>
        <v>0</v>
      </c>
      <c r="AW122" s="42">
        <f t="shared" si="263"/>
        <v>0</v>
      </c>
      <c r="AX122" s="42">
        <f t="shared" si="264"/>
        <v>0</v>
      </c>
      <c r="AY122" s="42">
        <f t="shared" si="265"/>
        <v>0</v>
      </c>
      <c r="AZ122" s="42">
        <f t="shared" si="266"/>
        <v>0</v>
      </c>
      <c r="BA122" s="42">
        <f t="shared" si="267"/>
        <v>0</v>
      </c>
      <c r="BB122" s="42">
        <f t="shared" si="268"/>
        <v>0</v>
      </c>
      <c r="BC122" s="42">
        <f t="shared" si="269"/>
        <v>0</v>
      </c>
      <c r="BD122" s="42">
        <f t="shared" si="270"/>
        <v>0</v>
      </c>
      <c r="BE122" s="42">
        <f t="shared" si="271"/>
        <v>0</v>
      </c>
      <c r="BF122" s="42">
        <f t="shared" si="272"/>
        <v>0</v>
      </c>
      <c r="BG122" s="42">
        <f t="shared" si="273"/>
        <v>0</v>
      </c>
      <c r="BH122" s="42">
        <f t="shared" si="274"/>
        <v>0</v>
      </c>
      <c r="BI122" s="42">
        <f t="shared" si="275"/>
        <v>0</v>
      </c>
    </row>
    <row r="123" spans="1:61" x14ac:dyDescent="0.25">
      <c r="A123" s="477"/>
      <c r="B123" s="21" t="s">
        <v>161</v>
      </c>
      <c r="C123" s="1" t="str">
        <f t="shared" si="254"/>
        <v>1/3</v>
      </c>
      <c r="D123" s="1" t="str">
        <f>IF(IF((COUNTIF(Professional_Skill_Options,'Skill Workbook'!B123)&gt;0),INDEX(Professional_Skill_Choices,MATCH(B123,Professional_Skill_Options,0)),FALSE),"X","")</f>
        <v/>
      </c>
      <c r="E123" s="1" t="str">
        <f>IF(IF((COUNTIF(Professional_Skill_Options,'Skill Workbook'!B123)&gt;0),INDEX(Professional_Skill_Knacks,MATCH(B123,Professional_Skill_Options,0)),FALSE),"X","")</f>
        <v/>
      </c>
      <c r="F123" t="s">
        <v>162</v>
      </c>
      <c r="G123" s="474"/>
      <c r="H123" s="199"/>
      <c r="I123" s="1" t="s">
        <v>160</v>
      </c>
      <c r="J123" s="46"/>
      <c r="AE123" s="1">
        <f>SUM(K123:INDEX(K123:AD123,Level))+J123-IF(H123="",0,1)</f>
        <v>0</v>
      </c>
      <c r="AF123" s="26">
        <f t="shared" si="255"/>
        <v>-25</v>
      </c>
      <c r="AG123" s="26" t="e" cm="1">
        <f t="array" aca="1" ref="AG123" ca="1">IF(I123="NA",0,INDIRECT(LEFT(I123,2))+INDIRECT(MID(I123,4,2))+INDIRECT(RIGHT(I123,2)))</f>
        <v>#N/A</v>
      </c>
      <c r="AH123" s="26">
        <f t="shared" si="276"/>
        <v>0</v>
      </c>
      <c r="AI123" s="26">
        <f t="shared" si="277"/>
        <v>0</v>
      </c>
      <c r="AJ123" s="26"/>
      <c r="AK123" s="26" t="e">
        <f t="shared" ca="1" si="138"/>
        <v>#N/A</v>
      </c>
      <c r="AL123" s="32" t="e">
        <f t="shared" ca="1" si="184"/>
        <v>#N/A</v>
      </c>
      <c r="AP123" s="42">
        <f t="shared" si="256"/>
        <v>0</v>
      </c>
      <c r="AQ123" s="42">
        <f t="shared" si="257"/>
        <v>0</v>
      </c>
      <c r="AR123" s="42">
        <f t="shared" si="258"/>
        <v>0</v>
      </c>
      <c r="AS123" s="42">
        <f t="shared" si="259"/>
        <v>0</v>
      </c>
      <c r="AT123" s="42">
        <f t="shared" si="260"/>
        <v>0</v>
      </c>
      <c r="AU123" s="42">
        <f t="shared" si="261"/>
        <v>0</v>
      </c>
      <c r="AV123" s="42">
        <f t="shared" si="262"/>
        <v>0</v>
      </c>
      <c r="AW123" s="42">
        <f t="shared" si="263"/>
        <v>0</v>
      </c>
      <c r="AX123" s="42">
        <f t="shared" si="264"/>
        <v>0</v>
      </c>
      <c r="AY123" s="42">
        <f t="shared" si="265"/>
        <v>0</v>
      </c>
      <c r="AZ123" s="42">
        <f t="shared" si="266"/>
        <v>0</v>
      </c>
      <c r="BA123" s="42">
        <f t="shared" si="267"/>
        <v>0</v>
      </c>
      <c r="BB123" s="42">
        <f t="shared" si="268"/>
        <v>0</v>
      </c>
      <c r="BC123" s="42">
        <f t="shared" si="269"/>
        <v>0</v>
      </c>
      <c r="BD123" s="42">
        <f t="shared" si="270"/>
        <v>0</v>
      </c>
      <c r="BE123" s="42">
        <f t="shared" si="271"/>
        <v>0</v>
      </c>
      <c r="BF123" s="42">
        <f t="shared" si="272"/>
        <v>0</v>
      </c>
      <c r="BG123" s="42">
        <f t="shared" si="273"/>
        <v>0</v>
      </c>
      <c r="BH123" s="42">
        <f t="shared" si="274"/>
        <v>0</v>
      </c>
      <c r="BI123" s="42">
        <f t="shared" si="275"/>
        <v>0</v>
      </c>
    </row>
    <row r="124" spans="1:61" x14ac:dyDescent="0.25">
      <c r="A124" s="477"/>
      <c r="B124" s="21" t="s">
        <v>161</v>
      </c>
      <c r="C124" s="1" t="str">
        <f t="shared" si="254"/>
        <v>1/3</v>
      </c>
      <c r="D124" s="1" t="str">
        <f>IF(IF((COUNTIF(Professional_Skill_Options,'Skill Workbook'!B124)&gt;0),INDEX(Professional_Skill_Choices,MATCH(B124,Professional_Skill_Options,0)),FALSE),"X","")</f>
        <v/>
      </c>
      <c r="E124" s="1" t="str">
        <f>IF(IF((COUNTIF(Professional_Skill_Options,'Skill Workbook'!B124)&gt;0),INDEX(Professional_Skill_Knacks,MATCH(B124,Professional_Skill_Options,0)),FALSE),"X","")</f>
        <v/>
      </c>
      <c r="F124" t="s">
        <v>163</v>
      </c>
      <c r="G124" s="474"/>
      <c r="H124" s="199"/>
      <c r="I124" s="1" t="s">
        <v>160</v>
      </c>
      <c r="J124" s="46"/>
      <c r="AE124" s="1">
        <f>SUM(K124:INDEX(K124:AD124,Level))+J124-IF(H124="",0,1)</f>
        <v>0</v>
      </c>
      <c r="AF124" s="26">
        <f t="shared" si="255"/>
        <v>-25</v>
      </c>
      <c r="AG124" s="26" t="e" cm="1">
        <f t="array" aca="1" ref="AG124" ca="1">IF(I124="NA",0,INDIRECT(LEFT(I124,2))+INDIRECT(MID(I124,4,2))+INDIRECT(RIGHT(I124,2)))</f>
        <v>#N/A</v>
      </c>
      <c r="AH124" s="26">
        <f t="shared" si="276"/>
        <v>0</v>
      </c>
      <c r="AI124" s="26">
        <f t="shared" si="277"/>
        <v>0</v>
      </c>
      <c r="AJ124" s="26"/>
      <c r="AK124" s="26" t="e">
        <f t="shared" ca="1" si="138"/>
        <v>#N/A</v>
      </c>
      <c r="AL124" s="32" t="e">
        <f t="shared" ca="1" si="184"/>
        <v>#N/A</v>
      </c>
      <c r="AP124" s="42">
        <f t="shared" si="256"/>
        <v>0</v>
      </c>
      <c r="AQ124" s="42">
        <f t="shared" si="257"/>
        <v>0</v>
      </c>
      <c r="AR124" s="42">
        <f t="shared" si="258"/>
        <v>0</v>
      </c>
      <c r="AS124" s="42">
        <f t="shared" si="259"/>
        <v>0</v>
      </c>
      <c r="AT124" s="42">
        <f t="shared" si="260"/>
        <v>0</v>
      </c>
      <c r="AU124" s="42">
        <f t="shared" si="261"/>
        <v>0</v>
      </c>
      <c r="AV124" s="42">
        <f t="shared" si="262"/>
        <v>0</v>
      </c>
      <c r="AW124" s="42">
        <f t="shared" si="263"/>
        <v>0</v>
      </c>
      <c r="AX124" s="42">
        <f t="shared" si="264"/>
        <v>0</v>
      </c>
      <c r="AY124" s="42">
        <f t="shared" si="265"/>
        <v>0</v>
      </c>
      <c r="AZ124" s="42">
        <f t="shared" si="266"/>
        <v>0</v>
      </c>
      <c r="BA124" s="42">
        <f t="shared" si="267"/>
        <v>0</v>
      </c>
      <c r="BB124" s="42">
        <f t="shared" si="268"/>
        <v>0</v>
      </c>
      <c r="BC124" s="42">
        <f t="shared" si="269"/>
        <v>0</v>
      </c>
      <c r="BD124" s="42">
        <f t="shared" si="270"/>
        <v>0</v>
      </c>
      <c r="BE124" s="42">
        <f t="shared" si="271"/>
        <v>0</v>
      </c>
      <c r="BF124" s="42">
        <f t="shared" si="272"/>
        <v>0</v>
      </c>
      <c r="BG124" s="42">
        <f t="shared" si="273"/>
        <v>0</v>
      </c>
      <c r="BH124" s="42">
        <f t="shared" si="274"/>
        <v>0</v>
      </c>
      <c r="BI124" s="42">
        <f t="shared" si="275"/>
        <v>0</v>
      </c>
    </row>
    <row r="125" spans="1:61" x14ac:dyDescent="0.25">
      <c r="A125" s="477"/>
      <c r="B125" s="21" t="s">
        <v>164</v>
      </c>
      <c r="C125" s="1" t="str">
        <f t="shared" ref="C125:C156" si="279">HLOOKUP(B125,Table_Profession_Skills,VLOOKUP(Profession,Table_Profession,2,FALSE)+1,FALSE)</f>
        <v>4/6</v>
      </c>
      <c r="D125" s="1" t="str">
        <f>IF(IF((COUNTIF(Professional_Skill_Options,'Skill Workbook'!F125)&gt;0),INDEX(Professional_Skill_Choices,MATCH(F125,Professional_Skill_Options,0)),FALSE),"X","")</f>
        <v/>
      </c>
      <c r="E125" s="1" t="str">
        <f>IF(IF((COUNTIF(Professional_Skill_Options,'Skill Workbook'!F125)&gt;0),INDEX(Professional_Skill_Knacks,MATCH(F125,Professional_Skill_Options,0)),FALSE),"X","")</f>
        <v/>
      </c>
      <c r="F125" t="s">
        <v>165</v>
      </c>
      <c r="G125" s="194"/>
      <c r="H125" s="195"/>
      <c r="I125" s="1" t="s">
        <v>94</v>
      </c>
      <c r="J125" s="46"/>
      <c r="AE125" s="1">
        <f>SUM(K125:INDEX(K125:AD125,Level))+J125-IF(H125="",0,1)</f>
        <v>0</v>
      </c>
      <c r="AF125" s="26">
        <f t="shared" si="255"/>
        <v>-25</v>
      </c>
      <c r="AG125" s="26" cm="1">
        <f t="array" aca="1" ref="AG125" ca="1">IF(I125="NA",0,INDIRECT(LEFT(I125,2))+INDIRECT(MID(I125,4,2))+INDIRECT(RIGHT(I125,2)))</f>
        <v>0</v>
      </c>
      <c r="AH125" s="26">
        <f t="shared" si="276"/>
        <v>0</v>
      </c>
      <c r="AI125" s="26">
        <f t="shared" si="277"/>
        <v>0</v>
      </c>
      <c r="AJ125" s="26"/>
      <c r="AK125" s="26">
        <f t="shared" ca="1" si="138"/>
        <v>-25</v>
      </c>
      <c r="AL125" s="32">
        <f t="shared" ca="1" si="184"/>
        <v>-25</v>
      </c>
      <c r="AP125" s="42">
        <f t="shared" si="256"/>
        <v>0</v>
      </c>
      <c r="AQ125" s="42">
        <f t="shared" si="257"/>
        <v>0</v>
      </c>
      <c r="AR125" s="42">
        <f t="shared" si="258"/>
        <v>0</v>
      </c>
      <c r="AS125" s="42">
        <f t="shared" si="259"/>
        <v>0</v>
      </c>
      <c r="AT125" s="42">
        <f t="shared" si="260"/>
        <v>0</v>
      </c>
      <c r="AU125" s="42">
        <f t="shared" si="261"/>
        <v>0</v>
      </c>
      <c r="AV125" s="42">
        <f t="shared" si="262"/>
        <v>0</v>
      </c>
      <c r="AW125" s="42">
        <f t="shared" si="263"/>
        <v>0</v>
      </c>
      <c r="AX125" s="42">
        <f t="shared" si="264"/>
        <v>0</v>
      </c>
      <c r="AY125" s="42">
        <f t="shared" si="265"/>
        <v>0</v>
      </c>
      <c r="AZ125" s="42">
        <f t="shared" si="266"/>
        <v>0</v>
      </c>
      <c r="BA125" s="42">
        <f t="shared" si="267"/>
        <v>0</v>
      </c>
      <c r="BB125" s="42">
        <f t="shared" si="268"/>
        <v>0</v>
      </c>
      <c r="BC125" s="42">
        <f t="shared" si="269"/>
        <v>0</v>
      </c>
      <c r="BD125" s="42">
        <f t="shared" si="270"/>
        <v>0</v>
      </c>
      <c r="BE125" s="42">
        <f t="shared" si="271"/>
        <v>0</v>
      </c>
      <c r="BF125" s="42">
        <f t="shared" si="272"/>
        <v>0</v>
      </c>
      <c r="BG125" s="42">
        <f t="shared" si="273"/>
        <v>0</v>
      </c>
      <c r="BH125" s="42">
        <f t="shared" si="274"/>
        <v>0</v>
      </c>
      <c r="BI125" s="42">
        <f t="shared" si="275"/>
        <v>0</v>
      </c>
    </row>
    <row r="126" spans="1:61" x14ac:dyDescent="0.25">
      <c r="A126" s="477"/>
      <c r="B126" s="21" t="s">
        <v>164</v>
      </c>
      <c r="C126" s="1" t="str">
        <f t="shared" si="279"/>
        <v>4/6</v>
      </c>
      <c r="D126" s="1" t="str">
        <f>IF(IF((COUNTIF(Professional_Skill_Options,'Skill Workbook'!F126)&gt;0),INDEX(Professional_Skill_Choices,MATCH(F126,Professional_Skill_Options,0)),FALSE),"X","")</f>
        <v/>
      </c>
      <c r="E126" s="1" t="str">
        <f>IF(IF((COUNTIF(Professional_Skill_Options,'Skill Workbook'!F126)&gt;0),INDEX(Professional_Skill_Knacks,MATCH(F126,Professional_Skill_Options,0)),FALSE),"X","")</f>
        <v/>
      </c>
      <c r="F126" t="s">
        <v>165</v>
      </c>
      <c r="G126" s="194"/>
      <c r="H126" s="195"/>
      <c r="I126" s="1" t="s">
        <v>94</v>
      </c>
      <c r="J126" s="46"/>
      <c r="AE126" s="1">
        <f>SUM(K126:INDEX(K126:AD126,Level))+J126-IF(H126="",0,1)</f>
        <v>0</v>
      </c>
      <c r="AF126" s="26">
        <f t="shared" si="255"/>
        <v>-25</v>
      </c>
      <c r="AG126" s="26" cm="1">
        <f t="array" aca="1" ref="AG126" ca="1">IF(I126="NA",0,INDIRECT(LEFT(I126,2))+INDIRECT(MID(I126,4,2))+INDIRECT(RIGHT(I126,2)))</f>
        <v>0</v>
      </c>
      <c r="AH126" s="26">
        <f t="shared" si="276"/>
        <v>0</v>
      </c>
      <c r="AI126" s="26">
        <f t="shared" si="277"/>
        <v>0</v>
      </c>
      <c r="AJ126" s="26"/>
      <c r="AK126" s="26">
        <f t="shared" ca="1" si="138"/>
        <v>-25</v>
      </c>
      <c r="AL126" s="32">
        <f t="shared" ca="1" si="184"/>
        <v>-25</v>
      </c>
      <c r="AP126" s="42">
        <f t="shared" si="256"/>
        <v>0</v>
      </c>
      <c r="AQ126" s="42">
        <f t="shared" si="257"/>
        <v>0</v>
      </c>
      <c r="AR126" s="42">
        <f t="shared" si="258"/>
        <v>0</v>
      </c>
      <c r="AS126" s="42">
        <f t="shared" si="259"/>
        <v>0</v>
      </c>
      <c r="AT126" s="42">
        <f t="shared" si="260"/>
        <v>0</v>
      </c>
      <c r="AU126" s="42">
        <f t="shared" si="261"/>
        <v>0</v>
      </c>
      <c r="AV126" s="42">
        <f t="shared" si="262"/>
        <v>0</v>
      </c>
      <c r="AW126" s="42">
        <f t="shared" si="263"/>
        <v>0</v>
      </c>
      <c r="AX126" s="42">
        <f t="shared" si="264"/>
        <v>0</v>
      </c>
      <c r="AY126" s="42">
        <f t="shared" si="265"/>
        <v>0</v>
      </c>
      <c r="AZ126" s="42">
        <f t="shared" si="266"/>
        <v>0</v>
      </c>
      <c r="BA126" s="42">
        <f t="shared" si="267"/>
        <v>0</v>
      </c>
      <c r="BB126" s="42">
        <f t="shared" si="268"/>
        <v>0</v>
      </c>
      <c r="BC126" s="42">
        <f t="shared" si="269"/>
        <v>0</v>
      </c>
      <c r="BD126" s="42">
        <f t="shared" si="270"/>
        <v>0</v>
      </c>
      <c r="BE126" s="42">
        <f t="shared" si="271"/>
        <v>0</v>
      </c>
      <c r="BF126" s="42">
        <f t="shared" si="272"/>
        <v>0</v>
      </c>
      <c r="BG126" s="42">
        <f t="shared" si="273"/>
        <v>0</v>
      </c>
      <c r="BH126" s="42">
        <f t="shared" si="274"/>
        <v>0</v>
      </c>
      <c r="BI126" s="42">
        <f t="shared" si="275"/>
        <v>0</v>
      </c>
    </row>
    <row r="127" spans="1:61" x14ac:dyDescent="0.25">
      <c r="A127" s="477"/>
      <c r="B127" s="21" t="s">
        <v>164</v>
      </c>
      <c r="C127" s="1" t="str">
        <f t="shared" si="279"/>
        <v>4/6</v>
      </c>
      <c r="D127" s="1" t="str">
        <f>IF(IF((COUNTIF(Professional_Skill_Options,'Skill Workbook'!F127)&gt;0),INDEX(Professional_Skill_Choices,MATCH(F127,Professional_Skill_Options,0)),FALSE),"X","")</f>
        <v/>
      </c>
      <c r="E127" s="1" t="str">
        <f>IF(IF((COUNTIF(Professional_Skill_Options,'Skill Workbook'!F127)&gt;0),INDEX(Professional_Skill_Knacks,MATCH(F127,Professional_Skill_Options,0)),FALSE),"X","")</f>
        <v/>
      </c>
      <c r="F127" t="s">
        <v>165</v>
      </c>
      <c r="G127" s="194"/>
      <c r="H127" s="195"/>
      <c r="I127" s="1" t="s">
        <v>94</v>
      </c>
      <c r="J127" s="46"/>
      <c r="AE127" s="1">
        <f>SUM(K127:INDEX(K127:AD127,Level))+J127-IF(H127="",0,1)</f>
        <v>0</v>
      </c>
      <c r="AF127" s="26">
        <f t="shared" si="255"/>
        <v>-25</v>
      </c>
      <c r="AG127" s="26" cm="1">
        <f t="array" aca="1" ref="AG127" ca="1">IF(I127="NA",0,INDIRECT(LEFT(I127,2))+INDIRECT(MID(I127,4,2))+INDIRECT(RIGHT(I127,2)))</f>
        <v>0</v>
      </c>
      <c r="AH127" s="26">
        <f t="shared" si="276"/>
        <v>0</v>
      </c>
      <c r="AI127" s="26">
        <f t="shared" si="277"/>
        <v>0</v>
      </c>
      <c r="AJ127" s="26"/>
      <c r="AK127" s="26">
        <f t="shared" ca="1" si="138"/>
        <v>-25</v>
      </c>
      <c r="AL127" s="32">
        <f t="shared" ca="1" si="184"/>
        <v>-25</v>
      </c>
      <c r="AP127" s="42">
        <f t="shared" si="256"/>
        <v>0</v>
      </c>
      <c r="AQ127" s="42">
        <f t="shared" si="257"/>
        <v>0</v>
      </c>
      <c r="AR127" s="42">
        <f t="shared" si="258"/>
        <v>0</v>
      </c>
      <c r="AS127" s="42">
        <f t="shared" si="259"/>
        <v>0</v>
      </c>
      <c r="AT127" s="42">
        <f t="shared" si="260"/>
        <v>0</v>
      </c>
      <c r="AU127" s="42">
        <f t="shared" si="261"/>
        <v>0</v>
      </c>
      <c r="AV127" s="42">
        <f t="shared" si="262"/>
        <v>0</v>
      </c>
      <c r="AW127" s="42">
        <f t="shared" si="263"/>
        <v>0</v>
      </c>
      <c r="AX127" s="42">
        <f t="shared" si="264"/>
        <v>0</v>
      </c>
      <c r="AY127" s="42">
        <f t="shared" si="265"/>
        <v>0</v>
      </c>
      <c r="AZ127" s="42">
        <f t="shared" si="266"/>
        <v>0</v>
      </c>
      <c r="BA127" s="42">
        <f t="shared" si="267"/>
        <v>0</v>
      </c>
      <c r="BB127" s="42">
        <f t="shared" si="268"/>
        <v>0</v>
      </c>
      <c r="BC127" s="42">
        <f t="shared" si="269"/>
        <v>0</v>
      </c>
      <c r="BD127" s="42">
        <f t="shared" si="270"/>
        <v>0</v>
      </c>
      <c r="BE127" s="42">
        <f t="shared" si="271"/>
        <v>0</v>
      </c>
      <c r="BF127" s="42">
        <f t="shared" si="272"/>
        <v>0</v>
      </c>
      <c r="BG127" s="42">
        <f t="shared" si="273"/>
        <v>0</v>
      </c>
      <c r="BH127" s="42">
        <f t="shared" si="274"/>
        <v>0</v>
      </c>
      <c r="BI127" s="42">
        <f t="shared" si="275"/>
        <v>0</v>
      </c>
    </row>
    <row r="128" spans="1:61" x14ac:dyDescent="0.25">
      <c r="A128" s="477"/>
      <c r="B128" s="21" t="s">
        <v>164</v>
      </c>
      <c r="C128" s="1" t="str">
        <f t="shared" si="279"/>
        <v>4/6</v>
      </c>
      <c r="D128" s="1" t="str">
        <f>IF(IF((COUNTIF(Professional_Skill_Options,'Skill Workbook'!F128)&gt;0),INDEX(Professional_Skill_Choices,MATCH(F128,Professional_Skill_Options,0)),FALSE),"X","")</f>
        <v/>
      </c>
      <c r="E128" s="1" t="str">
        <f>IF(IF((COUNTIF(Professional_Skill_Options,'Skill Workbook'!F128)&gt;0),INDEX(Professional_Skill_Knacks,MATCH(F128,Professional_Skill_Options,0)),FALSE),"X","")</f>
        <v/>
      </c>
      <c r="F128" t="s">
        <v>166</v>
      </c>
      <c r="G128" s="194"/>
      <c r="H128" s="195"/>
      <c r="I128" s="1" t="s">
        <v>94</v>
      </c>
      <c r="J128" s="46"/>
      <c r="AE128" s="1">
        <f>SUM(K128:INDEX(K128:AD128,Level))+J128-IF(H128="",0,1)</f>
        <v>0</v>
      </c>
      <c r="AF128" s="26">
        <f t="shared" si="255"/>
        <v>-25</v>
      </c>
      <c r="AG128" s="26" cm="1">
        <f t="array" aca="1" ref="AG128" ca="1">IF(I128="NA",0,INDIRECT(LEFT(I128,2))+INDIRECT(MID(I128,4,2))+INDIRECT(RIGHT(I128,2)))</f>
        <v>0</v>
      </c>
      <c r="AH128" s="26">
        <f t="shared" si="276"/>
        <v>0</v>
      </c>
      <c r="AI128" s="26">
        <f t="shared" si="277"/>
        <v>0</v>
      </c>
      <c r="AJ128" s="26"/>
      <c r="AK128" s="26">
        <f t="shared" ca="1" si="138"/>
        <v>-25</v>
      </c>
      <c r="AL128" s="32">
        <f t="shared" ca="1" si="184"/>
        <v>-25</v>
      </c>
      <c r="AP128" s="42">
        <f t="shared" si="256"/>
        <v>0</v>
      </c>
      <c r="AQ128" s="42">
        <f t="shared" si="257"/>
        <v>0</v>
      </c>
      <c r="AR128" s="42">
        <f t="shared" si="258"/>
        <v>0</v>
      </c>
      <c r="AS128" s="42">
        <f t="shared" si="259"/>
        <v>0</v>
      </c>
      <c r="AT128" s="42">
        <f t="shared" si="260"/>
        <v>0</v>
      </c>
      <c r="AU128" s="42">
        <f t="shared" si="261"/>
        <v>0</v>
      </c>
      <c r="AV128" s="42">
        <f t="shared" si="262"/>
        <v>0</v>
      </c>
      <c r="AW128" s="42">
        <f t="shared" si="263"/>
        <v>0</v>
      </c>
      <c r="AX128" s="42">
        <f t="shared" si="264"/>
        <v>0</v>
      </c>
      <c r="AY128" s="42">
        <f t="shared" si="265"/>
        <v>0</v>
      </c>
      <c r="AZ128" s="42">
        <f t="shared" si="266"/>
        <v>0</v>
      </c>
      <c r="BA128" s="42">
        <f t="shared" si="267"/>
        <v>0</v>
      </c>
      <c r="BB128" s="42">
        <f t="shared" si="268"/>
        <v>0</v>
      </c>
      <c r="BC128" s="42">
        <f t="shared" si="269"/>
        <v>0</v>
      </c>
      <c r="BD128" s="42">
        <f t="shared" si="270"/>
        <v>0</v>
      </c>
      <c r="BE128" s="42">
        <f t="shared" si="271"/>
        <v>0</v>
      </c>
      <c r="BF128" s="42">
        <f t="shared" si="272"/>
        <v>0</v>
      </c>
      <c r="BG128" s="42">
        <f t="shared" si="273"/>
        <v>0</v>
      </c>
      <c r="BH128" s="42">
        <f t="shared" si="274"/>
        <v>0</v>
      </c>
      <c r="BI128" s="42">
        <f t="shared" si="275"/>
        <v>0</v>
      </c>
    </row>
    <row r="129" spans="1:61" x14ac:dyDescent="0.25">
      <c r="A129" s="477"/>
      <c r="B129" s="21" t="s">
        <v>164</v>
      </c>
      <c r="C129" s="1" t="str">
        <f t="shared" si="279"/>
        <v>4/6</v>
      </c>
      <c r="D129" s="1" t="str">
        <f>IF(IF((COUNTIF(Professional_Skill_Options,'Skill Workbook'!F129)&gt;0),INDEX(Professional_Skill_Choices,MATCH(F129,Professional_Skill_Options,0)),FALSE),"X","")</f>
        <v/>
      </c>
      <c r="E129" s="1" t="str">
        <f>IF(IF((COUNTIF(Professional_Skill_Options,'Skill Workbook'!F129)&gt;0),INDEX(Professional_Skill_Knacks,MATCH(F129,Professional_Skill_Options,0)),FALSE),"X","")</f>
        <v/>
      </c>
      <c r="F129" t="s">
        <v>166</v>
      </c>
      <c r="G129" s="194"/>
      <c r="H129" s="195"/>
      <c r="I129" s="1" t="s">
        <v>94</v>
      </c>
      <c r="J129" s="46"/>
      <c r="AE129" s="1">
        <f>SUM(K129:INDEX(K129:AD129,Level))+J129-IF(H129="",0,1)</f>
        <v>0</v>
      </c>
      <c r="AF129" s="26">
        <f t="shared" si="255"/>
        <v>-25</v>
      </c>
      <c r="AG129" s="26" cm="1">
        <f t="array" aca="1" ref="AG129" ca="1">IF(I129="NA",0,INDIRECT(LEFT(I129,2))+INDIRECT(MID(I129,4,2))+INDIRECT(RIGHT(I129,2)))</f>
        <v>0</v>
      </c>
      <c r="AH129" s="26">
        <f t="shared" si="276"/>
        <v>0</v>
      </c>
      <c r="AI129" s="26">
        <f t="shared" si="277"/>
        <v>0</v>
      </c>
      <c r="AJ129" s="26"/>
      <c r="AK129" s="26">
        <f t="shared" ca="1" si="138"/>
        <v>-25</v>
      </c>
      <c r="AL129" s="32">
        <f t="shared" ca="1" si="184"/>
        <v>-25</v>
      </c>
      <c r="AP129" s="42">
        <f t="shared" si="256"/>
        <v>0</v>
      </c>
      <c r="AQ129" s="42">
        <f t="shared" si="257"/>
        <v>0</v>
      </c>
      <c r="AR129" s="42">
        <f t="shared" si="258"/>
        <v>0</v>
      </c>
      <c r="AS129" s="42">
        <f t="shared" si="259"/>
        <v>0</v>
      </c>
      <c r="AT129" s="42">
        <f t="shared" si="260"/>
        <v>0</v>
      </c>
      <c r="AU129" s="42">
        <f t="shared" si="261"/>
        <v>0</v>
      </c>
      <c r="AV129" s="42">
        <f t="shared" si="262"/>
        <v>0</v>
      </c>
      <c r="AW129" s="42">
        <f t="shared" si="263"/>
        <v>0</v>
      </c>
      <c r="AX129" s="42">
        <f t="shared" si="264"/>
        <v>0</v>
      </c>
      <c r="AY129" s="42">
        <f t="shared" si="265"/>
        <v>0</v>
      </c>
      <c r="AZ129" s="42">
        <f t="shared" si="266"/>
        <v>0</v>
      </c>
      <c r="BA129" s="42">
        <f t="shared" si="267"/>
        <v>0</v>
      </c>
      <c r="BB129" s="42">
        <f t="shared" si="268"/>
        <v>0</v>
      </c>
      <c r="BC129" s="42">
        <f t="shared" si="269"/>
        <v>0</v>
      </c>
      <c r="BD129" s="42">
        <f t="shared" si="270"/>
        <v>0</v>
      </c>
      <c r="BE129" s="42">
        <f t="shared" si="271"/>
        <v>0</v>
      </c>
      <c r="BF129" s="42">
        <f t="shared" si="272"/>
        <v>0</v>
      </c>
      <c r="BG129" s="42">
        <f t="shared" si="273"/>
        <v>0</v>
      </c>
      <c r="BH129" s="42">
        <f t="shared" si="274"/>
        <v>0</v>
      </c>
      <c r="BI129" s="42">
        <f t="shared" si="275"/>
        <v>0</v>
      </c>
    </row>
    <row r="130" spans="1:61" x14ac:dyDescent="0.25">
      <c r="A130" s="477"/>
      <c r="B130" s="21" t="s">
        <v>164</v>
      </c>
      <c r="C130" s="1" t="str">
        <f t="shared" si="279"/>
        <v>4/6</v>
      </c>
      <c r="D130" s="1" t="str">
        <f>IF(IF((COUNTIF(Professional_Skill_Options,'Skill Workbook'!F130)&gt;0),INDEX(Professional_Skill_Choices,MATCH(F130,Professional_Skill_Options,0)),FALSE),"X","")</f>
        <v/>
      </c>
      <c r="E130" s="1" t="str">
        <f>IF(IF((COUNTIF(Professional_Skill_Options,'Skill Workbook'!F130)&gt;0),INDEX(Professional_Skill_Knacks,MATCH(F130,Professional_Skill_Options,0)),FALSE),"X","")</f>
        <v/>
      </c>
      <c r="F130" t="s">
        <v>167</v>
      </c>
      <c r="G130" s="196"/>
      <c r="H130" s="198"/>
      <c r="I130" s="1" t="s">
        <v>94</v>
      </c>
      <c r="J130" s="46"/>
      <c r="AE130" s="1">
        <f>SUM(K130:INDEX(K130:AD130,Level))+J130-IF(H130="",0,1)</f>
        <v>0</v>
      </c>
      <c r="AF130" s="26">
        <f t="shared" si="255"/>
        <v>-25</v>
      </c>
      <c r="AG130" s="26" cm="1">
        <f t="array" aca="1" ref="AG130" ca="1">IF(I130="NA",0,INDIRECT(LEFT(I130,2))+INDIRECT(MID(I130,4,2))+INDIRECT(RIGHT(I130,2)))</f>
        <v>0</v>
      </c>
      <c r="AH130" s="26">
        <f t="shared" si="276"/>
        <v>0</v>
      </c>
      <c r="AI130" s="26">
        <f t="shared" si="277"/>
        <v>0</v>
      </c>
      <c r="AJ130" s="26"/>
      <c r="AK130" s="26">
        <f t="shared" ca="1" si="138"/>
        <v>-25</v>
      </c>
      <c r="AL130" s="32">
        <f t="shared" ca="1" si="184"/>
        <v>-25</v>
      </c>
      <c r="AP130" s="42">
        <f t="shared" si="256"/>
        <v>0</v>
      </c>
      <c r="AQ130" s="42">
        <f t="shared" si="257"/>
        <v>0</v>
      </c>
      <c r="AR130" s="42">
        <f t="shared" si="258"/>
        <v>0</v>
      </c>
      <c r="AS130" s="42">
        <f t="shared" si="259"/>
        <v>0</v>
      </c>
      <c r="AT130" s="42">
        <f t="shared" si="260"/>
        <v>0</v>
      </c>
      <c r="AU130" s="42">
        <f t="shared" si="261"/>
        <v>0</v>
      </c>
      <c r="AV130" s="42">
        <f t="shared" si="262"/>
        <v>0</v>
      </c>
      <c r="AW130" s="42">
        <f t="shared" si="263"/>
        <v>0</v>
      </c>
      <c r="AX130" s="42">
        <f t="shared" si="264"/>
        <v>0</v>
      </c>
      <c r="AY130" s="42">
        <f t="shared" si="265"/>
        <v>0</v>
      </c>
      <c r="AZ130" s="42">
        <f t="shared" si="266"/>
        <v>0</v>
      </c>
      <c r="BA130" s="42">
        <f t="shared" si="267"/>
        <v>0</v>
      </c>
      <c r="BB130" s="42">
        <f t="shared" si="268"/>
        <v>0</v>
      </c>
      <c r="BC130" s="42">
        <f t="shared" si="269"/>
        <v>0</v>
      </c>
      <c r="BD130" s="42">
        <f t="shared" si="270"/>
        <v>0</v>
      </c>
      <c r="BE130" s="42">
        <f t="shared" si="271"/>
        <v>0</v>
      </c>
      <c r="BF130" s="42">
        <f t="shared" si="272"/>
        <v>0</v>
      </c>
      <c r="BG130" s="42">
        <f t="shared" si="273"/>
        <v>0</v>
      </c>
      <c r="BH130" s="42">
        <f t="shared" si="274"/>
        <v>0</v>
      </c>
      <c r="BI130" s="42">
        <f t="shared" si="275"/>
        <v>0</v>
      </c>
    </row>
    <row r="131" spans="1:61" x14ac:dyDescent="0.25">
      <c r="A131" s="477"/>
      <c r="B131" s="21" t="s">
        <v>168</v>
      </c>
      <c r="C131" s="1" t="str">
        <f t="shared" si="279"/>
        <v>3/4</v>
      </c>
      <c r="D131" s="1" t="str">
        <f>IF(IF((COUNTIF(Professional_Skill_Options,'Skill Workbook'!F131)&gt;0),INDEX(Professional_Skill_Choices,MATCH(F131,Professional_Skill_Options,0)),FALSE),"X","")</f>
        <v/>
      </c>
      <c r="E131" s="1" t="str">
        <f>IF(IF((COUNTIF(Professional_Skill_Options,'Skill Workbook'!F131)&gt;0),INDEX(Professional_Skill_Knacks,MATCH(F131,Professional_Skill_Options,0)),FALSE),"X","")</f>
        <v/>
      </c>
      <c r="F131" t="s">
        <v>169</v>
      </c>
      <c r="G131" s="196"/>
      <c r="H131" s="198"/>
      <c r="I131" s="1" t="s">
        <v>145</v>
      </c>
      <c r="J131" s="1">
        <f>'Base Details'!V113</f>
        <v>0</v>
      </c>
      <c r="AE131" s="1">
        <f>SUM(K131:INDEX(K131:AD131,Level))+J131-IF(H131="",0,1)</f>
        <v>0</v>
      </c>
      <c r="AF131" s="26">
        <f t="shared" si="255"/>
        <v>-25</v>
      </c>
      <c r="AG131" s="26" t="e" cm="1">
        <f t="array" aca="1" ref="AG131" ca="1">IF(I131="NA",0,INDIRECT(LEFT(I131,2))+INDIRECT(MID(I131,4,2))+INDIRECT(RIGHT(I131,2)))</f>
        <v>#N/A</v>
      </c>
      <c r="AH131" s="26">
        <f t="shared" si="276"/>
        <v>0</v>
      </c>
      <c r="AI131" s="26">
        <f t="shared" si="277"/>
        <v>0</v>
      </c>
      <c r="AJ131" s="26"/>
      <c r="AK131" s="26" t="e">
        <f t="shared" ca="1" si="138"/>
        <v>#N/A</v>
      </c>
      <c r="AL131" s="32" t="e">
        <f t="shared" ca="1" si="184"/>
        <v>#N/A</v>
      </c>
      <c r="AP131" s="42">
        <f t="shared" si="256"/>
        <v>0</v>
      </c>
      <c r="AQ131" s="42">
        <f t="shared" si="257"/>
        <v>0</v>
      </c>
      <c r="AR131" s="42">
        <f t="shared" si="258"/>
        <v>0</v>
      </c>
      <c r="AS131" s="42">
        <f t="shared" si="259"/>
        <v>0</v>
      </c>
      <c r="AT131" s="42">
        <f t="shared" si="260"/>
        <v>0</v>
      </c>
      <c r="AU131" s="42">
        <f t="shared" si="261"/>
        <v>0</v>
      </c>
      <c r="AV131" s="42">
        <f t="shared" si="262"/>
        <v>0</v>
      </c>
      <c r="AW131" s="42">
        <f t="shared" si="263"/>
        <v>0</v>
      </c>
      <c r="AX131" s="42">
        <f t="shared" si="264"/>
        <v>0</v>
      </c>
      <c r="AY131" s="42">
        <f t="shared" si="265"/>
        <v>0</v>
      </c>
      <c r="AZ131" s="42">
        <f t="shared" si="266"/>
        <v>0</v>
      </c>
      <c r="BA131" s="42">
        <f t="shared" si="267"/>
        <v>0</v>
      </c>
      <c r="BB131" s="42">
        <f t="shared" si="268"/>
        <v>0</v>
      </c>
      <c r="BC131" s="42">
        <f t="shared" si="269"/>
        <v>0</v>
      </c>
      <c r="BD131" s="42">
        <f t="shared" si="270"/>
        <v>0</v>
      </c>
      <c r="BE131" s="42">
        <f t="shared" si="271"/>
        <v>0</v>
      </c>
      <c r="BF131" s="42">
        <f t="shared" si="272"/>
        <v>0</v>
      </c>
      <c r="BG131" s="42">
        <f t="shared" si="273"/>
        <v>0</v>
      </c>
      <c r="BH131" s="42">
        <f t="shared" si="274"/>
        <v>0</v>
      </c>
      <c r="BI131" s="42">
        <f t="shared" si="275"/>
        <v>0</v>
      </c>
    </row>
    <row r="132" spans="1:61" x14ac:dyDescent="0.25">
      <c r="A132" s="477"/>
      <c r="B132" s="21" t="s">
        <v>168</v>
      </c>
      <c r="C132" s="1" t="str">
        <f t="shared" si="279"/>
        <v>3/4</v>
      </c>
      <c r="D132" s="1" t="str">
        <f>IF(IF((COUNTIF(Professional_Skill_Options,'Skill Workbook'!F132)&gt;0),INDEX(Professional_Skill_Choices,MATCH(F132,Professional_Skill_Options,0)),FALSE),"X","")</f>
        <v/>
      </c>
      <c r="E132" s="1" t="str">
        <f>IF(IF((COUNTIF(Professional_Skill_Options,'Skill Workbook'!F132)&gt;0),INDEX(Professional_Skill_Knacks,MATCH(F132,Professional_Skill_Options,0)),FALSE),"X","")</f>
        <v/>
      </c>
      <c r="F132" t="s">
        <v>170</v>
      </c>
      <c r="G132" s="196"/>
      <c r="H132" s="198"/>
      <c r="I132" s="1" t="s">
        <v>145</v>
      </c>
      <c r="J132" s="1">
        <f>'Base Details'!V114</f>
        <v>0</v>
      </c>
      <c r="AE132" s="1">
        <f>SUM(K132:INDEX(K132:AD132,Level))+J132-IF(H132="",0,1)</f>
        <v>0</v>
      </c>
      <c r="AF132" s="26">
        <f t="shared" si="255"/>
        <v>-25</v>
      </c>
      <c r="AG132" s="26" t="e" cm="1">
        <f t="array" aca="1" ref="AG132" ca="1">IF(I132="NA",0,INDIRECT(LEFT(I132,2))+INDIRECT(MID(I132,4,2))+INDIRECT(RIGHT(I132,2)))</f>
        <v>#N/A</v>
      </c>
      <c r="AH132" s="26">
        <f t="shared" si="276"/>
        <v>0</v>
      </c>
      <c r="AI132" s="26">
        <f t="shared" si="277"/>
        <v>0</v>
      </c>
      <c r="AJ132" s="26"/>
      <c r="AK132" s="26" t="e">
        <f t="shared" ca="1" si="138"/>
        <v>#N/A</v>
      </c>
      <c r="AL132" s="32" t="e">
        <f t="shared" ca="1" si="184"/>
        <v>#N/A</v>
      </c>
      <c r="AP132" s="42">
        <f t="shared" si="256"/>
        <v>0</v>
      </c>
      <c r="AQ132" s="42">
        <f t="shared" si="257"/>
        <v>0</v>
      </c>
      <c r="AR132" s="42">
        <f t="shared" si="258"/>
        <v>0</v>
      </c>
      <c r="AS132" s="42">
        <f t="shared" si="259"/>
        <v>0</v>
      </c>
      <c r="AT132" s="42">
        <f t="shared" si="260"/>
        <v>0</v>
      </c>
      <c r="AU132" s="42">
        <f t="shared" si="261"/>
        <v>0</v>
      </c>
      <c r="AV132" s="42">
        <f t="shared" si="262"/>
        <v>0</v>
      </c>
      <c r="AW132" s="42">
        <f t="shared" si="263"/>
        <v>0</v>
      </c>
      <c r="AX132" s="42">
        <f t="shared" si="264"/>
        <v>0</v>
      </c>
      <c r="AY132" s="42">
        <f t="shared" si="265"/>
        <v>0</v>
      </c>
      <c r="AZ132" s="42">
        <f t="shared" si="266"/>
        <v>0</v>
      </c>
      <c r="BA132" s="42">
        <f t="shared" si="267"/>
        <v>0</v>
      </c>
      <c r="BB132" s="42">
        <f t="shared" si="268"/>
        <v>0</v>
      </c>
      <c r="BC132" s="42">
        <f t="shared" si="269"/>
        <v>0</v>
      </c>
      <c r="BD132" s="42">
        <f t="shared" si="270"/>
        <v>0</v>
      </c>
      <c r="BE132" s="42">
        <f t="shared" si="271"/>
        <v>0</v>
      </c>
      <c r="BF132" s="42">
        <f t="shared" si="272"/>
        <v>0</v>
      </c>
      <c r="BG132" s="42">
        <f t="shared" si="273"/>
        <v>0</v>
      </c>
      <c r="BH132" s="42">
        <f t="shared" si="274"/>
        <v>0</v>
      </c>
      <c r="BI132" s="42">
        <f t="shared" si="275"/>
        <v>0</v>
      </c>
    </row>
    <row r="133" spans="1:61" x14ac:dyDescent="0.25">
      <c r="A133" s="477"/>
      <c r="B133" s="21" t="s">
        <v>168</v>
      </c>
      <c r="C133" s="1" t="str">
        <f t="shared" si="279"/>
        <v>3/4</v>
      </c>
      <c r="D133" s="1" t="str">
        <f>IF(IF((COUNTIF(Professional_Skill_Options,'Skill Workbook'!F133)&gt;0),INDEX(Professional_Skill_Choices,MATCH(F133,Professional_Skill_Options,0)),FALSE),"X","")</f>
        <v/>
      </c>
      <c r="E133" s="1" t="str">
        <f>IF(IF((COUNTIF(Professional_Skill_Options,'Skill Workbook'!F133)&gt;0),INDEX(Professional_Skill_Knacks,MATCH(F133,Professional_Skill_Options,0)),FALSE),"X","")</f>
        <v/>
      </c>
      <c r="F133" t="s">
        <v>171</v>
      </c>
      <c r="G133" s="196"/>
      <c r="H133" s="198"/>
      <c r="I133" s="1" t="s">
        <v>145</v>
      </c>
      <c r="J133" s="1">
        <f>'Base Details'!V115</f>
        <v>0</v>
      </c>
      <c r="AE133" s="1">
        <f>SUM(K133:INDEX(K133:AD133,Level))+J133-IF(H133="",0,1)</f>
        <v>0</v>
      </c>
      <c r="AF133" s="26">
        <f t="shared" si="255"/>
        <v>-25</v>
      </c>
      <c r="AG133" s="26" t="e" cm="1">
        <f t="array" aca="1" ref="AG133" ca="1">IF(I133="NA",0,INDIRECT(LEFT(I133,2))+INDIRECT(MID(I133,4,2))+INDIRECT(RIGHT(I133,2)))</f>
        <v>#N/A</v>
      </c>
      <c r="AH133" s="26">
        <f t="shared" si="276"/>
        <v>0</v>
      </c>
      <c r="AI133" s="26">
        <f t="shared" si="277"/>
        <v>0</v>
      </c>
      <c r="AJ133" s="26"/>
      <c r="AK133" s="26" t="e">
        <f t="shared" ca="1" si="138"/>
        <v>#N/A</v>
      </c>
      <c r="AL133" s="32" t="e">
        <f t="shared" ca="1" si="184"/>
        <v>#N/A</v>
      </c>
      <c r="AP133" s="42">
        <f t="shared" si="256"/>
        <v>0</v>
      </c>
      <c r="AQ133" s="42">
        <f t="shared" si="257"/>
        <v>0</v>
      </c>
      <c r="AR133" s="42">
        <f t="shared" si="258"/>
        <v>0</v>
      </c>
      <c r="AS133" s="42">
        <f t="shared" si="259"/>
        <v>0</v>
      </c>
      <c r="AT133" s="42">
        <f t="shared" si="260"/>
        <v>0</v>
      </c>
      <c r="AU133" s="42">
        <f t="shared" si="261"/>
        <v>0</v>
      </c>
      <c r="AV133" s="42">
        <f t="shared" si="262"/>
        <v>0</v>
      </c>
      <c r="AW133" s="42">
        <f t="shared" si="263"/>
        <v>0</v>
      </c>
      <c r="AX133" s="42">
        <f t="shared" si="264"/>
        <v>0</v>
      </c>
      <c r="AY133" s="42">
        <f t="shared" si="265"/>
        <v>0</v>
      </c>
      <c r="AZ133" s="42">
        <f t="shared" si="266"/>
        <v>0</v>
      </c>
      <c r="BA133" s="42">
        <f t="shared" si="267"/>
        <v>0</v>
      </c>
      <c r="BB133" s="42">
        <f t="shared" si="268"/>
        <v>0</v>
      </c>
      <c r="BC133" s="42">
        <f t="shared" si="269"/>
        <v>0</v>
      </c>
      <c r="BD133" s="42">
        <f t="shared" si="270"/>
        <v>0</v>
      </c>
      <c r="BE133" s="42">
        <f t="shared" si="271"/>
        <v>0</v>
      </c>
      <c r="BF133" s="42">
        <f t="shared" si="272"/>
        <v>0</v>
      </c>
      <c r="BG133" s="42">
        <f t="shared" si="273"/>
        <v>0</v>
      </c>
      <c r="BH133" s="42">
        <f t="shared" si="274"/>
        <v>0</v>
      </c>
      <c r="BI133" s="42">
        <f t="shared" si="275"/>
        <v>0</v>
      </c>
    </row>
    <row r="134" spans="1:61" x14ac:dyDescent="0.25">
      <c r="A134" s="477"/>
      <c r="B134" s="21" t="s">
        <v>172</v>
      </c>
      <c r="C134" s="1" t="str">
        <f t="shared" si="279"/>
        <v>3/4</v>
      </c>
      <c r="D134" s="1" t="str">
        <f>IF(IF((COUNTIF(Professional_Skill_Options,'Skill Workbook'!F134)&gt;0),INDEX(Professional_Skill_Choices,MATCH(F134,Professional_Skill_Options,0)),FALSE),"X","")</f>
        <v/>
      </c>
      <c r="E134" s="1" t="str">
        <f>IF(IF((COUNTIF(Professional_Skill_Options,'Skill Workbook'!F134)&gt;0),INDEX(Professional_Skill_Knacks,MATCH(F134,Professional_Skill_Options,0)),FALSE),"X","")</f>
        <v/>
      </c>
      <c r="F134" t="s">
        <v>173</v>
      </c>
      <c r="G134" s="196"/>
      <c r="H134" s="198"/>
      <c r="I134" s="1" t="s">
        <v>176</v>
      </c>
      <c r="J134" s="46"/>
      <c r="AE134" s="1">
        <f>SUM(K134:INDEX(K134:AD134,Level))+J134-IF(H134="",0,1)</f>
        <v>0</v>
      </c>
      <c r="AF134" s="26">
        <f t="shared" si="255"/>
        <v>-25</v>
      </c>
      <c r="AG134" s="26" t="e" cm="1">
        <f t="array" aca="1" ref="AG134" ca="1">IF(I134="NA",0,INDIRECT(LEFT(I134,2))+INDIRECT(MID(I134,4,2))+INDIRECT(RIGHT(I134,2)))</f>
        <v>#N/A</v>
      </c>
      <c r="AH134" s="26">
        <f t="shared" si="276"/>
        <v>0</v>
      </c>
      <c r="AI134" s="26">
        <f t="shared" si="277"/>
        <v>0</v>
      </c>
      <c r="AJ134" s="26"/>
      <c r="AK134" s="26" t="e">
        <f t="shared" ca="1" si="138"/>
        <v>#N/A</v>
      </c>
      <c r="AL134" s="32" t="e">
        <f t="shared" ca="1" si="184"/>
        <v>#N/A</v>
      </c>
      <c r="AP134" s="42">
        <f t="shared" si="256"/>
        <v>0</v>
      </c>
      <c r="AQ134" s="42">
        <f t="shared" si="257"/>
        <v>0</v>
      </c>
      <c r="AR134" s="42">
        <f t="shared" si="258"/>
        <v>0</v>
      </c>
      <c r="AS134" s="42">
        <f t="shared" si="259"/>
        <v>0</v>
      </c>
      <c r="AT134" s="42">
        <f t="shared" si="260"/>
        <v>0</v>
      </c>
      <c r="AU134" s="42">
        <f t="shared" si="261"/>
        <v>0</v>
      </c>
      <c r="AV134" s="42">
        <f t="shared" si="262"/>
        <v>0</v>
      </c>
      <c r="AW134" s="42">
        <f t="shared" si="263"/>
        <v>0</v>
      </c>
      <c r="AX134" s="42">
        <f t="shared" si="264"/>
        <v>0</v>
      </c>
      <c r="AY134" s="42">
        <f t="shared" si="265"/>
        <v>0</v>
      </c>
      <c r="AZ134" s="42">
        <f t="shared" si="266"/>
        <v>0</v>
      </c>
      <c r="BA134" s="42">
        <f t="shared" si="267"/>
        <v>0</v>
      </c>
      <c r="BB134" s="42">
        <f t="shared" si="268"/>
        <v>0</v>
      </c>
      <c r="BC134" s="42">
        <f t="shared" si="269"/>
        <v>0</v>
      </c>
      <c r="BD134" s="42">
        <f t="shared" si="270"/>
        <v>0</v>
      </c>
      <c r="BE134" s="42">
        <f t="shared" si="271"/>
        <v>0</v>
      </c>
      <c r="BF134" s="42">
        <f t="shared" si="272"/>
        <v>0</v>
      </c>
      <c r="BG134" s="42">
        <f t="shared" si="273"/>
        <v>0</v>
      </c>
      <c r="BH134" s="42">
        <f t="shared" si="274"/>
        <v>0</v>
      </c>
      <c r="BI134" s="42">
        <f t="shared" si="275"/>
        <v>0</v>
      </c>
    </row>
    <row r="135" spans="1:61" x14ac:dyDescent="0.25">
      <c r="A135" s="477"/>
      <c r="B135" s="21" t="s">
        <v>172</v>
      </c>
      <c r="C135" s="1" t="str">
        <f t="shared" si="279"/>
        <v>3/4</v>
      </c>
      <c r="D135" s="1" t="str">
        <f>IF(IF((COUNTIF(Professional_Skill_Options,'Skill Workbook'!F135)&gt;0),INDEX(Professional_Skill_Choices,MATCH(F135,Professional_Skill_Options,0)),FALSE),"X","")</f>
        <v/>
      </c>
      <c r="E135" s="1" t="str">
        <f>IF(IF((COUNTIF(Professional_Skill_Options,'Skill Workbook'!F135)&gt;0),INDEX(Professional_Skill_Knacks,MATCH(F135,Professional_Skill_Options,0)),FALSE),"X","")</f>
        <v/>
      </c>
      <c r="F135" t="s">
        <v>174</v>
      </c>
      <c r="G135" s="196"/>
      <c r="H135" s="198"/>
      <c r="I135" s="1" t="s">
        <v>176</v>
      </c>
      <c r="J135" s="1">
        <f>'Base Details'!V116</f>
        <v>0</v>
      </c>
      <c r="AE135" s="1">
        <f>SUM(K135:INDEX(K135:AD135,Level))+J135-IF(H135="",0,1)</f>
        <v>0</v>
      </c>
      <c r="AF135" s="26">
        <f t="shared" si="255"/>
        <v>-25</v>
      </c>
      <c r="AG135" s="26" t="e" cm="1">
        <f t="array" aca="1" ref="AG135" ca="1">IF(I135="NA",0,INDIRECT(LEFT(I135,2))+INDIRECT(MID(I135,4,2))+INDIRECT(RIGHT(I135,2)))</f>
        <v>#N/A</v>
      </c>
      <c r="AH135" s="26">
        <f t="shared" si="276"/>
        <v>0</v>
      </c>
      <c r="AI135" s="26">
        <f t="shared" si="277"/>
        <v>0</v>
      </c>
      <c r="AJ135" s="26"/>
      <c r="AK135" s="26" t="e">
        <f t="shared" ca="1" si="138"/>
        <v>#N/A</v>
      </c>
      <c r="AL135" s="32" t="e">
        <f t="shared" ca="1" si="184"/>
        <v>#N/A</v>
      </c>
      <c r="AP135" s="42">
        <f t="shared" si="256"/>
        <v>0</v>
      </c>
      <c r="AQ135" s="42">
        <f t="shared" si="257"/>
        <v>0</v>
      </c>
      <c r="AR135" s="42">
        <f t="shared" si="258"/>
        <v>0</v>
      </c>
      <c r="AS135" s="42">
        <f t="shared" si="259"/>
        <v>0</v>
      </c>
      <c r="AT135" s="42">
        <f t="shared" si="260"/>
        <v>0</v>
      </c>
      <c r="AU135" s="42">
        <f t="shared" si="261"/>
        <v>0</v>
      </c>
      <c r="AV135" s="42">
        <f t="shared" si="262"/>
        <v>0</v>
      </c>
      <c r="AW135" s="42">
        <f t="shared" si="263"/>
        <v>0</v>
      </c>
      <c r="AX135" s="42">
        <f t="shared" si="264"/>
        <v>0</v>
      </c>
      <c r="AY135" s="42">
        <f t="shared" si="265"/>
        <v>0</v>
      </c>
      <c r="AZ135" s="42">
        <f t="shared" si="266"/>
        <v>0</v>
      </c>
      <c r="BA135" s="42">
        <f t="shared" si="267"/>
        <v>0</v>
      </c>
      <c r="BB135" s="42">
        <f t="shared" si="268"/>
        <v>0</v>
      </c>
      <c r="BC135" s="42">
        <f t="shared" si="269"/>
        <v>0</v>
      </c>
      <c r="BD135" s="42">
        <f t="shared" si="270"/>
        <v>0</v>
      </c>
      <c r="BE135" s="42">
        <f t="shared" si="271"/>
        <v>0</v>
      </c>
      <c r="BF135" s="42">
        <f t="shared" si="272"/>
        <v>0</v>
      </c>
      <c r="BG135" s="42">
        <f t="shared" si="273"/>
        <v>0</v>
      </c>
      <c r="BH135" s="42">
        <f t="shared" si="274"/>
        <v>0</v>
      </c>
      <c r="BI135" s="42">
        <f t="shared" si="275"/>
        <v>0</v>
      </c>
    </row>
    <row r="136" spans="1:61" x14ac:dyDescent="0.25">
      <c r="A136" s="477"/>
      <c r="B136" s="21" t="s">
        <v>172</v>
      </c>
      <c r="C136" s="1" t="str">
        <f t="shared" si="279"/>
        <v>3/4</v>
      </c>
      <c r="D136" s="1" t="str">
        <f>IF(IF((COUNTIF(Professional_Skill_Options,'Skill Workbook'!F136)&gt;0),INDEX(Professional_Skill_Choices,MATCH(F136,Professional_Skill_Options,0)),FALSE),"X","")</f>
        <v/>
      </c>
      <c r="E136" s="1" t="str">
        <f>IF(IF((COUNTIF(Professional_Skill_Options,'Skill Workbook'!F136)&gt;0),INDEX(Professional_Skill_Knacks,MATCH(F136,Professional_Skill_Options,0)),FALSE),"X","")</f>
        <v/>
      </c>
      <c r="F136" t="s">
        <v>175</v>
      </c>
      <c r="G136" s="196"/>
      <c r="H136" s="198"/>
      <c r="I136" s="1" t="s">
        <v>176</v>
      </c>
      <c r="J136" s="46"/>
      <c r="AE136" s="1">
        <f>SUM(K136:INDEX(K136:AD136,Level))+J136-IF(H136="",0,1)</f>
        <v>0</v>
      </c>
      <c r="AF136" s="26">
        <f t="shared" si="255"/>
        <v>-25</v>
      </c>
      <c r="AG136" s="26" t="e" cm="1">
        <f t="array" aca="1" ref="AG136" ca="1">IF(I136="NA",0,INDIRECT(LEFT(I136,2))+INDIRECT(MID(I136,4,2))+INDIRECT(RIGHT(I136,2)))</f>
        <v>#N/A</v>
      </c>
      <c r="AH136" s="26">
        <f t="shared" si="276"/>
        <v>0</v>
      </c>
      <c r="AI136" s="26">
        <f t="shared" si="277"/>
        <v>0</v>
      </c>
      <c r="AJ136" s="26"/>
      <c r="AK136" s="26" t="e">
        <f t="shared" ca="1" si="138"/>
        <v>#N/A</v>
      </c>
      <c r="AL136" s="32" t="e">
        <f t="shared" ca="1" si="184"/>
        <v>#N/A</v>
      </c>
      <c r="AP136" s="42">
        <f t="shared" si="256"/>
        <v>0</v>
      </c>
      <c r="AQ136" s="42">
        <f t="shared" si="257"/>
        <v>0</v>
      </c>
      <c r="AR136" s="42">
        <f t="shared" si="258"/>
        <v>0</v>
      </c>
      <c r="AS136" s="42">
        <f t="shared" si="259"/>
        <v>0</v>
      </c>
      <c r="AT136" s="42">
        <f t="shared" si="260"/>
        <v>0</v>
      </c>
      <c r="AU136" s="42">
        <f t="shared" si="261"/>
        <v>0</v>
      </c>
      <c r="AV136" s="42">
        <f t="shared" si="262"/>
        <v>0</v>
      </c>
      <c r="AW136" s="42">
        <f t="shared" si="263"/>
        <v>0</v>
      </c>
      <c r="AX136" s="42">
        <f t="shared" si="264"/>
        <v>0</v>
      </c>
      <c r="AY136" s="42">
        <f t="shared" si="265"/>
        <v>0</v>
      </c>
      <c r="AZ136" s="42">
        <f t="shared" si="266"/>
        <v>0</v>
      </c>
      <c r="BA136" s="42">
        <f t="shared" si="267"/>
        <v>0</v>
      </c>
      <c r="BB136" s="42">
        <f t="shared" si="268"/>
        <v>0</v>
      </c>
      <c r="BC136" s="42">
        <f t="shared" si="269"/>
        <v>0</v>
      </c>
      <c r="BD136" s="42">
        <f t="shared" si="270"/>
        <v>0</v>
      </c>
      <c r="BE136" s="42">
        <f t="shared" si="271"/>
        <v>0</v>
      </c>
      <c r="BF136" s="42">
        <f t="shared" si="272"/>
        <v>0</v>
      </c>
      <c r="BG136" s="42">
        <f t="shared" si="273"/>
        <v>0</v>
      </c>
      <c r="BH136" s="42">
        <f t="shared" si="274"/>
        <v>0</v>
      </c>
      <c r="BI136" s="42">
        <f t="shared" si="275"/>
        <v>0</v>
      </c>
    </row>
    <row r="137" spans="1:61" x14ac:dyDescent="0.25">
      <c r="A137" s="477"/>
      <c r="B137" s="21" t="s">
        <v>177</v>
      </c>
      <c r="C137" s="1" t="str">
        <f t="shared" si="279"/>
        <v>2/4</v>
      </c>
      <c r="D137" s="1" t="str">
        <f>IF(IF((COUNTIF(Professional_Skill_Options,'Skill Workbook'!F137)&gt;0),INDEX(Professional_Skill_Choices,MATCH(F137,Professional_Skill_Options,0)),FALSE),"X","")</f>
        <v/>
      </c>
      <c r="E137" s="1" t="str">
        <f>IF(IF((COUNTIF(Professional_Skill_Options,'Skill Workbook'!F137)&gt;0),INDEX(Professional_Skill_Knacks,MATCH(F137,Professional_Skill_Options,0)),FALSE),"X","")</f>
        <v/>
      </c>
      <c r="F137" t="s">
        <v>178</v>
      </c>
      <c r="G137" s="196"/>
      <c r="H137" s="198"/>
      <c r="I137" s="1" t="s">
        <v>182</v>
      </c>
      <c r="J137" s="1">
        <f>'Base Details'!V117</f>
        <v>0</v>
      </c>
      <c r="AE137" s="1">
        <f>SUM(K137:INDEX(K137:AD137,Level))+J137-IF(H137="",0,1)</f>
        <v>0</v>
      </c>
      <c r="AF137" s="26">
        <f t="shared" si="255"/>
        <v>-25</v>
      </c>
      <c r="AG137" s="26" t="e" cm="1">
        <f t="array" aca="1" ref="AG137" ca="1">IF(I137="NA",0,INDIRECT(LEFT(I137,2))+INDIRECT(MID(I137,4,2))+INDIRECT(RIGHT(I137,2)))</f>
        <v>#N/A</v>
      </c>
      <c r="AH137" s="26">
        <f t="shared" si="276"/>
        <v>0</v>
      </c>
      <c r="AI137" s="26">
        <f t="shared" si="277"/>
        <v>0</v>
      </c>
      <c r="AJ137" s="26"/>
      <c r="AK137" s="26" t="e">
        <f t="shared" ca="1" si="138"/>
        <v>#N/A</v>
      </c>
      <c r="AL137" s="32" t="e">
        <f t="shared" ca="1" si="184"/>
        <v>#N/A</v>
      </c>
      <c r="AP137" s="42">
        <f t="shared" si="256"/>
        <v>0</v>
      </c>
      <c r="AQ137" s="42">
        <f t="shared" si="257"/>
        <v>0</v>
      </c>
      <c r="AR137" s="42">
        <f t="shared" si="258"/>
        <v>0</v>
      </c>
      <c r="AS137" s="42">
        <f t="shared" si="259"/>
        <v>0</v>
      </c>
      <c r="AT137" s="42">
        <f t="shared" si="260"/>
        <v>0</v>
      </c>
      <c r="AU137" s="42">
        <f t="shared" si="261"/>
        <v>0</v>
      </c>
      <c r="AV137" s="42">
        <f t="shared" si="262"/>
        <v>0</v>
      </c>
      <c r="AW137" s="42">
        <f t="shared" si="263"/>
        <v>0</v>
      </c>
      <c r="AX137" s="42">
        <f t="shared" si="264"/>
        <v>0</v>
      </c>
      <c r="AY137" s="42">
        <f t="shared" si="265"/>
        <v>0</v>
      </c>
      <c r="AZ137" s="42">
        <f t="shared" si="266"/>
        <v>0</v>
      </c>
      <c r="BA137" s="42">
        <f t="shared" si="267"/>
        <v>0</v>
      </c>
      <c r="BB137" s="42">
        <f t="shared" si="268"/>
        <v>0</v>
      </c>
      <c r="BC137" s="42">
        <f t="shared" si="269"/>
        <v>0</v>
      </c>
      <c r="BD137" s="42">
        <f t="shared" si="270"/>
        <v>0</v>
      </c>
      <c r="BE137" s="42">
        <f t="shared" si="271"/>
        <v>0</v>
      </c>
      <c r="BF137" s="42">
        <f t="shared" si="272"/>
        <v>0</v>
      </c>
      <c r="BG137" s="42">
        <f t="shared" si="273"/>
        <v>0</v>
      </c>
      <c r="BH137" s="42">
        <f t="shared" si="274"/>
        <v>0</v>
      </c>
      <c r="BI137" s="42">
        <f t="shared" si="275"/>
        <v>0</v>
      </c>
    </row>
    <row r="138" spans="1:61" x14ac:dyDescent="0.25">
      <c r="A138" s="477"/>
      <c r="B138" s="21" t="s">
        <v>177</v>
      </c>
      <c r="C138" s="1" t="str">
        <f t="shared" si="279"/>
        <v>2/4</v>
      </c>
      <c r="D138" s="1" t="str">
        <f>IF(IF((COUNTIF(Professional_Skill_Options,'Skill Workbook'!F138)&gt;0),INDEX(Professional_Skill_Choices,MATCH(F138,Professional_Skill_Options,0)),FALSE),"X","")</f>
        <v/>
      </c>
      <c r="E138" s="1" t="str">
        <f>IF(IF((COUNTIF(Professional_Skill_Options,'Skill Workbook'!F138)&gt;0),INDEX(Professional_Skill_Knacks,MATCH(F138,Professional_Skill_Options,0)),FALSE),"X","")</f>
        <v/>
      </c>
      <c r="F138" t="s">
        <v>179</v>
      </c>
      <c r="G138" s="196"/>
      <c r="H138" s="198"/>
      <c r="I138" s="1" t="s">
        <v>182</v>
      </c>
      <c r="J138" s="1">
        <f>'Base Details'!V118</f>
        <v>0</v>
      </c>
      <c r="AE138" s="1">
        <f>SUM(K138:INDEX(K138:AD138,Level))+J138-IF(H138="",0,1)</f>
        <v>0</v>
      </c>
      <c r="AF138" s="26">
        <f t="shared" si="255"/>
        <v>-25</v>
      </c>
      <c r="AG138" s="26" t="e" cm="1">
        <f t="array" aca="1" ref="AG138" ca="1">IF(I138="NA",0,INDIRECT(LEFT(I138,2))+INDIRECT(MID(I138,4,2))+INDIRECT(RIGHT(I138,2)))</f>
        <v>#N/A</v>
      </c>
      <c r="AH138" s="26">
        <f t="shared" si="276"/>
        <v>0</v>
      </c>
      <c r="AI138" s="26">
        <f t="shared" si="277"/>
        <v>0</v>
      </c>
      <c r="AJ138" s="26"/>
      <c r="AK138" s="26" t="e">
        <f t="shared" ref="AK138:AK201" ca="1" si="280">ROUND(IF(H138="",AL138,IF((ROUNDDOWN(AE138*1.5,0))&gt;30,100+(ROUNDDOWN(AE138*1.5,0)),VLOOKUP((ROUNDDOWN(AE138*1.5,0)),Rank_Bonus,2,FALSE))+SUM(AG138:AJ138)),0)</f>
        <v>#N/A</v>
      </c>
      <c r="AL138" s="32" t="e">
        <f t="shared" ca="1" si="184"/>
        <v>#N/A</v>
      </c>
      <c r="AP138" s="42">
        <f t="shared" si="256"/>
        <v>0</v>
      </c>
      <c r="AQ138" s="42">
        <f t="shared" si="257"/>
        <v>0</v>
      </c>
      <c r="AR138" s="42">
        <f t="shared" si="258"/>
        <v>0</v>
      </c>
      <c r="AS138" s="42">
        <f t="shared" si="259"/>
        <v>0</v>
      </c>
      <c r="AT138" s="42">
        <f t="shared" si="260"/>
        <v>0</v>
      </c>
      <c r="AU138" s="42">
        <f t="shared" si="261"/>
        <v>0</v>
      </c>
      <c r="AV138" s="42">
        <f t="shared" si="262"/>
        <v>0</v>
      </c>
      <c r="AW138" s="42">
        <f t="shared" si="263"/>
        <v>0</v>
      </c>
      <c r="AX138" s="42">
        <f t="shared" si="264"/>
        <v>0</v>
      </c>
      <c r="AY138" s="42">
        <f t="shared" si="265"/>
        <v>0</v>
      </c>
      <c r="AZ138" s="42">
        <f t="shared" si="266"/>
        <v>0</v>
      </c>
      <c r="BA138" s="42">
        <f t="shared" si="267"/>
        <v>0</v>
      </c>
      <c r="BB138" s="42">
        <f t="shared" si="268"/>
        <v>0</v>
      </c>
      <c r="BC138" s="42">
        <f t="shared" si="269"/>
        <v>0</v>
      </c>
      <c r="BD138" s="42">
        <f t="shared" si="270"/>
        <v>0</v>
      </c>
      <c r="BE138" s="42">
        <f t="shared" si="271"/>
        <v>0</v>
      </c>
      <c r="BF138" s="42">
        <f t="shared" si="272"/>
        <v>0</v>
      </c>
      <c r="BG138" s="42">
        <f t="shared" si="273"/>
        <v>0</v>
      </c>
      <c r="BH138" s="42">
        <f t="shared" si="274"/>
        <v>0</v>
      </c>
      <c r="BI138" s="42">
        <f t="shared" si="275"/>
        <v>0</v>
      </c>
    </row>
    <row r="139" spans="1:61" x14ac:dyDescent="0.25">
      <c r="A139" s="477"/>
      <c r="B139" s="21" t="s">
        <v>177</v>
      </c>
      <c r="C139" s="1" t="str">
        <f t="shared" si="279"/>
        <v>2/4</v>
      </c>
      <c r="D139" s="1" t="str">
        <f>IF(IF((COUNTIF(Professional_Skill_Options,'Skill Workbook'!F139)&gt;0),INDEX(Professional_Skill_Choices,MATCH(F139,Professional_Skill_Options,0)),FALSE),"X","")</f>
        <v/>
      </c>
      <c r="E139" s="1" t="str">
        <f>IF(IF((COUNTIF(Professional_Skill_Options,'Skill Workbook'!F139)&gt;0),INDEX(Professional_Skill_Knacks,MATCH(F139,Professional_Skill_Options,0)),FALSE),"X","")</f>
        <v/>
      </c>
      <c r="F139" t="s">
        <v>180</v>
      </c>
      <c r="G139" s="196"/>
      <c r="H139" s="198"/>
      <c r="I139" s="1" t="s">
        <v>182</v>
      </c>
      <c r="J139" s="1">
        <f>'Base Details'!V119</f>
        <v>0</v>
      </c>
      <c r="AE139" s="1">
        <f>SUM(K139:INDEX(K139:AD139,Level))+J139-IF(H139="",0,1)</f>
        <v>0</v>
      </c>
      <c r="AF139" s="26">
        <f t="shared" si="255"/>
        <v>-25</v>
      </c>
      <c r="AG139" s="26" t="e" cm="1">
        <f t="array" aca="1" ref="AG139" ca="1">IF(I139="NA",0,INDIRECT(LEFT(I139,2))+INDIRECT(MID(I139,4,2))+INDIRECT(RIGHT(I139,2)))</f>
        <v>#N/A</v>
      </c>
      <c r="AH139" s="26">
        <f t="shared" si="276"/>
        <v>0</v>
      </c>
      <c r="AI139" s="26">
        <f t="shared" si="277"/>
        <v>0</v>
      </c>
      <c r="AJ139" s="26"/>
      <c r="AK139" s="26" t="e">
        <f t="shared" ca="1" si="280"/>
        <v>#N/A</v>
      </c>
      <c r="AL139" s="32" t="e">
        <f t="shared" ca="1" si="184"/>
        <v>#N/A</v>
      </c>
      <c r="AP139" s="42">
        <f t="shared" si="256"/>
        <v>0</v>
      </c>
      <c r="AQ139" s="42">
        <f t="shared" si="257"/>
        <v>0</v>
      </c>
      <c r="AR139" s="42">
        <f t="shared" si="258"/>
        <v>0</v>
      </c>
      <c r="AS139" s="42">
        <f t="shared" si="259"/>
        <v>0</v>
      </c>
      <c r="AT139" s="42">
        <f t="shared" si="260"/>
        <v>0</v>
      </c>
      <c r="AU139" s="42">
        <f t="shared" si="261"/>
        <v>0</v>
      </c>
      <c r="AV139" s="42">
        <f t="shared" si="262"/>
        <v>0</v>
      </c>
      <c r="AW139" s="42">
        <f t="shared" si="263"/>
        <v>0</v>
      </c>
      <c r="AX139" s="42">
        <f t="shared" si="264"/>
        <v>0</v>
      </c>
      <c r="AY139" s="42">
        <f t="shared" si="265"/>
        <v>0</v>
      </c>
      <c r="AZ139" s="42">
        <f t="shared" si="266"/>
        <v>0</v>
      </c>
      <c r="BA139" s="42">
        <f t="shared" si="267"/>
        <v>0</v>
      </c>
      <c r="BB139" s="42">
        <f t="shared" si="268"/>
        <v>0</v>
      </c>
      <c r="BC139" s="42">
        <f t="shared" si="269"/>
        <v>0</v>
      </c>
      <c r="BD139" s="42">
        <f t="shared" si="270"/>
        <v>0</v>
      </c>
      <c r="BE139" s="42">
        <f t="shared" si="271"/>
        <v>0</v>
      </c>
      <c r="BF139" s="42">
        <f t="shared" si="272"/>
        <v>0</v>
      </c>
      <c r="BG139" s="42">
        <f t="shared" si="273"/>
        <v>0</v>
      </c>
      <c r="BH139" s="42">
        <f t="shared" si="274"/>
        <v>0</v>
      </c>
      <c r="BI139" s="42">
        <f t="shared" si="275"/>
        <v>0</v>
      </c>
    </row>
    <row r="140" spans="1:61" x14ac:dyDescent="0.25">
      <c r="A140" s="477"/>
      <c r="B140" s="21" t="s">
        <v>177</v>
      </c>
      <c r="C140" s="1" t="str">
        <f t="shared" si="279"/>
        <v>2/4</v>
      </c>
      <c r="D140" s="1" t="str">
        <f>IF(IF((COUNTIF(Professional_Skill_Options,'Skill Workbook'!F140)&gt;0),INDEX(Professional_Skill_Choices,MATCH(F140,Professional_Skill_Options,0)),FALSE),"X","")</f>
        <v/>
      </c>
      <c r="E140" s="1" t="str">
        <f>IF(IF((COUNTIF(Professional_Skill_Options,'Skill Workbook'!F140)&gt;0),INDEX(Professional_Skill_Knacks,MATCH(F140,Professional_Skill_Options,0)),FALSE),"X","")</f>
        <v/>
      </c>
      <c r="F140" t="s">
        <v>181</v>
      </c>
      <c r="G140" s="196"/>
      <c r="H140" s="198"/>
      <c r="I140" s="1" t="s">
        <v>182</v>
      </c>
      <c r="J140" s="1">
        <f>'Base Details'!V122</f>
        <v>0</v>
      </c>
      <c r="AE140" s="1">
        <f>SUM(K140:INDEX(K140:AD140,Level))+J140-IF(H140="",0,1)</f>
        <v>0</v>
      </c>
      <c r="AF140" s="26">
        <f t="shared" si="255"/>
        <v>-25</v>
      </c>
      <c r="AG140" s="26" t="e" cm="1">
        <f t="array" aca="1" ref="AG140" ca="1">IF(I140="NA",0,INDIRECT(LEFT(I140,2))+INDIRECT(MID(I140,4,2))+INDIRECT(RIGHT(I140,2)))</f>
        <v>#N/A</v>
      </c>
      <c r="AH140" s="26">
        <f t="shared" si="276"/>
        <v>0</v>
      </c>
      <c r="AI140" s="26">
        <f t="shared" si="277"/>
        <v>0</v>
      </c>
      <c r="AJ140" s="26"/>
      <c r="AK140" s="26" t="e">
        <f t="shared" ca="1" si="280"/>
        <v>#N/A</v>
      </c>
      <c r="AL140" s="32" t="e">
        <f t="shared" ca="1" si="184"/>
        <v>#N/A</v>
      </c>
      <c r="AP140" s="42">
        <f t="shared" si="256"/>
        <v>0</v>
      </c>
      <c r="AQ140" s="42">
        <f t="shared" si="257"/>
        <v>0</v>
      </c>
      <c r="AR140" s="42">
        <f t="shared" si="258"/>
        <v>0</v>
      </c>
      <c r="AS140" s="42">
        <f t="shared" si="259"/>
        <v>0</v>
      </c>
      <c r="AT140" s="42">
        <f t="shared" si="260"/>
        <v>0</v>
      </c>
      <c r="AU140" s="42">
        <f t="shared" si="261"/>
        <v>0</v>
      </c>
      <c r="AV140" s="42">
        <f t="shared" si="262"/>
        <v>0</v>
      </c>
      <c r="AW140" s="42">
        <f t="shared" si="263"/>
        <v>0</v>
      </c>
      <c r="AX140" s="42">
        <f t="shared" si="264"/>
        <v>0</v>
      </c>
      <c r="AY140" s="42">
        <f t="shared" si="265"/>
        <v>0</v>
      </c>
      <c r="AZ140" s="42">
        <f t="shared" si="266"/>
        <v>0</v>
      </c>
      <c r="BA140" s="42">
        <f t="shared" si="267"/>
        <v>0</v>
      </c>
      <c r="BB140" s="42">
        <f t="shared" si="268"/>
        <v>0</v>
      </c>
      <c r="BC140" s="42">
        <f t="shared" si="269"/>
        <v>0</v>
      </c>
      <c r="BD140" s="42">
        <f t="shared" si="270"/>
        <v>0</v>
      </c>
      <c r="BE140" s="42">
        <f t="shared" si="271"/>
        <v>0</v>
      </c>
      <c r="BF140" s="42">
        <f t="shared" si="272"/>
        <v>0</v>
      </c>
      <c r="BG140" s="42">
        <f t="shared" si="273"/>
        <v>0</v>
      </c>
      <c r="BH140" s="42">
        <f t="shared" si="274"/>
        <v>0</v>
      </c>
      <c r="BI140" s="42">
        <f t="shared" si="275"/>
        <v>0</v>
      </c>
    </row>
    <row r="141" spans="1:61" x14ac:dyDescent="0.25">
      <c r="A141" s="477"/>
      <c r="B141" s="21" t="s">
        <v>183</v>
      </c>
      <c r="C141" s="1" t="str">
        <f t="shared" si="279"/>
        <v>2/4</v>
      </c>
      <c r="D141" s="1" t="str">
        <f>IF(IF((COUNTIF(Professional_Skill_Options,'Skill Workbook'!F141)&gt;0),INDEX(Professional_Skill_Choices,MATCH(F141,Professional_Skill_Options,0)),FALSE),"X","")</f>
        <v/>
      </c>
      <c r="E141" s="1" t="str">
        <f>IF(IF((COUNTIF(Professional_Skill_Options,'Skill Workbook'!F141)&gt;0),INDEX(Professional_Skill_Knacks,MATCH(F141,Professional_Skill_Options,0)),FALSE),"X","")</f>
        <v/>
      </c>
      <c r="F141" t="s">
        <v>184</v>
      </c>
      <c r="G141" s="196"/>
      <c r="H141" s="198"/>
      <c r="I141" s="1" t="s">
        <v>187</v>
      </c>
      <c r="J141" s="1">
        <f>'Base Details'!J148</f>
        <v>0</v>
      </c>
      <c r="AE141" s="1">
        <f>SUM(K141:INDEX(K141:AD141,Level))+J141-IF(H141="",0,1)</f>
        <v>0</v>
      </c>
      <c r="AF141" s="26">
        <f t="shared" si="255"/>
        <v>-25</v>
      </c>
      <c r="AG141" s="26" t="e" cm="1">
        <f t="array" aca="1" ref="AG141" ca="1">IF(I141="NA",0,INDIRECT(LEFT(I141,2))+INDIRECT(MID(I141,4,2))+INDIRECT(RIGHT(I141,2)))</f>
        <v>#N/A</v>
      </c>
      <c r="AH141" s="26">
        <f t="shared" si="276"/>
        <v>0</v>
      </c>
      <c r="AI141" s="26">
        <f t="shared" si="277"/>
        <v>0</v>
      </c>
      <c r="AJ141" s="26"/>
      <c r="AK141" s="26" t="e">
        <f t="shared" ca="1" si="280"/>
        <v>#N/A</v>
      </c>
      <c r="AL141" s="32" t="e">
        <f t="shared" ca="1" si="184"/>
        <v>#N/A</v>
      </c>
      <c r="AP141" s="42">
        <f t="shared" si="256"/>
        <v>0</v>
      </c>
      <c r="AQ141" s="42">
        <f t="shared" si="257"/>
        <v>0</v>
      </c>
      <c r="AR141" s="42">
        <f t="shared" si="258"/>
        <v>0</v>
      </c>
      <c r="AS141" s="42">
        <f t="shared" si="259"/>
        <v>0</v>
      </c>
      <c r="AT141" s="42">
        <f t="shared" si="260"/>
        <v>0</v>
      </c>
      <c r="AU141" s="42">
        <f t="shared" si="261"/>
        <v>0</v>
      </c>
      <c r="AV141" s="42">
        <f t="shared" si="262"/>
        <v>0</v>
      </c>
      <c r="AW141" s="42">
        <f t="shared" si="263"/>
        <v>0</v>
      </c>
      <c r="AX141" s="42">
        <f t="shared" si="264"/>
        <v>0</v>
      </c>
      <c r="AY141" s="42">
        <f t="shared" si="265"/>
        <v>0</v>
      </c>
      <c r="AZ141" s="42">
        <f t="shared" si="266"/>
        <v>0</v>
      </c>
      <c r="BA141" s="42">
        <f t="shared" si="267"/>
        <v>0</v>
      </c>
      <c r="BB141" s="42">
        <f t="shared" si="268"/>
        <v>0</v>
      </c>
      <c r="BC141" s="42">
        <f t="shared" si="269"/>
        <v>0</v>
      </c>
      <c r="BD141" s="42">
        <f t="shared" si="270"/>
        <v>0</v>
      </c>
      <c r="BE141" s="42">
        <f t="shared" si="271"/>
        <v>0</v>
      </c>
      <c r="BF141" s="42">
        <f t="shared" si="272"/>
        <v>0</v>
      </c>
      <c r="BG141" s="42">
        <f t="shared" si="273"/>
        <v>0</v>
      </c>
      <c r="BH141" s="42">
        <f t="shared" si="274"/>
        <v>0</v>
      </c>
      <c r="BI141" s="42">
        <f t="shared" si="275"/>
        <v>0</v>
      </c>
    </row>
    <row r="142" spans="1:61" x14ac:dyDescent="0.25">
      <c r="A142" s="477"/>
      <c r="B142" s="21" t="s">
        <v>183</v>
      </c>
      <c r="C142" s="1" t="str">
        <f t="shared" si="279"/>
        <v>2/4</v>
      </c>
      <c r="D142" s="1" t="str">
        <f>IF(IF((COUNTIF(Professional_Skill_Options,'Skill Workbook'!F142)&gt;0),INDEX(Professional_Skill_Choices,MATCH(F142,Professional_Skill_Options,0)),FALSE),"X","")</f>
        <v/>
      </c>
      <c r="E142" s="1" t="str">
        <f>IF(IF((COUNTIF(Professional_Skill_Options,'Skill Workbook'!F142)&gt;0),INDEX(Professional_Skill_Knacks,MATCH(F142,Professional_Skill_Options,0)),FALSE),"X","")</f>
        <v/>
      </c>
      <c r="F142" t="s">
        <v>185</v>
      </c>
      <c r="G142" s="194" t="str">
        <f>'Base Details'!O149</f>
        <v>Instrument 1</v>
      </c>
      <c r="H142" s="195"/>
      <c r="I142" s="1" t="s">
        <v>187</v>
      </c>
      <c r="J142" s="1">
        <f>'Base Details'!J149</f>
        <v>0</v>
      </c>
      <c r="AE142" s="1">
        <f>SUM(K142:INDEX(K142:AD142,Level))+J142-IF(H142="",0,1)</f>
        <v>0</v>
      </c>
      <c r="AF142" s="26">
        <f t="shared" si="255"/>
        <v>-25</v>
      </c>
      <c r="AG142" s="26" t="e" cm="1">
        <f t="array" aca="1" ref="AG142" ca="1">IF(I142="NA",0,INDIRECT(LEFT(I142,2))+INDIRECT(MID(I142,4,2))+INDIRECT(RIGHT(I142,2)))</f>
        <v>#N/A</v>
      </c>
      <c r="AH142" s="26">
        <f t="shared" si="276"/>
        <v>0</v>
      </c>
      <c r="AI142" s="26">
        <f t="shared" si="277"/>
        <v>0</v>
      </c>
      <c r="AJ142" s="26"/>
      <c r="AK142" s="26" t="e">
        <f t="shared" ca="1" si="280"/>
        <v>#N/A</v>
      </c>
      <c r="AL142" s="32" t="e">
        <f t="shared" ca="1" si="184"/>
        <v>#N/A</v>
      </c>
      <c r="AP142" s="42">
        <f t="shared" si="256"/>
        <v>0</v>
      </c>
      <c r="AQ142" s="42">
        <f t="shared" si="257"/>
        <v>0</v>
      </c>
      <c r="AR142" s="42">
        <f t="shared" si="258"/>
        <v>0</v>
      </c>
      <c r="AS142" s="42">
        <f t="shared" si="259"/>
        <v>0</v>
      </c>
      <c r="AT142" s="42">
        <f t="shared" si="260"/>
        <v>0</v>
      </c>
      <c r="AU142" s="42">
        <f t="shared" si="261"/>
        <v>0</v>
      </c>
      <c r="AV142" s="42">
        <f t="shared" si="262"/>
        <v>0</v>
      </c>
      <c r="AW142" s="42">
        <f t="shared" si="263"/>
        <v>0</v>
      </c>
      <c r="AX142" s="42">
        <f t="shared" si="264"/>
        <v>0</v>
      </c>
      <c r="AY142" s="42">
        <f t="shared" si="265"/>
        <v>0</v>
      </c>
      <c r="AZ142" s="42">
        <f t="shared" si="266"/>
        <v>0</v>
      </c>
      <c r="BA142" s="42">
        <f t="shared" si="267"/>
        <v>0</v>
      </c>
      <c r="BB142" s="42">
        <f t="shared" si="268"/>
        <v>0</v>
      </c>
      <c r="BC142" s="42">
        <f t="shared" si="269"/>
        <v>0</v>
      </c>
      <c r="BD142" s="42">
        <f t="shared" si="270"/>
        <v>0</v>
      </c>
      <c r="BE142" s="42">
        <f t="shared" si="271"/>
        <v>0</v>
      </c>
      <c r="BF142" s="42">
        <f t="shared" si="272"/>
        <v>0</v>
      </c>
      <c r="BG142" s="42">
        <f t="shared" si="273"/>
        <v>0</v>
      </c>
      <c r="BH142" s="42">
        <f t="shared" si="274"/>
        <v>0</v>
      </c>
      <c r="BI142" s="42">
        <f t="shared" si="275"/>
        <v>0</v>
      </c>
    </row>
    <row r="143" spans="1:61" x14ac:dyDescent="0.25">
      <c r="A143" s="477"/>
      <c r="B143" s="21" t="s">
        <v>183</v>
      </c>
      <c r="C143" s="1" t="str">
        <f t="shared" si="279"/>
        <v>2/4</v>
      </c>
      <c r="D143" s="1" t="str">
        <f>IF(IF((COUNTIF(Professional_Skill_Options,'Skill Workbook'!F143)&gt;0),INDEX(Professional_Skill_Choices,MATCH(F143,Professional_Skill_Options,0)),FALSE),"X","")</f>
        <v/>
      </c>
      <c r="E143" s="1" t="str">
        <f>IF(IF((COUNTIF(Professional_Skill_Options,'Skill Workbook'!F143)&gt;0),INDEX(Professional_Skill_Knacks,MATCH(F143,Professional_Skill_Options,0)),FALSE),"X","")</f>
        <v/>
      </c>
      <c r="F143" t="s">
        <v>185</v>
      </c>
      <c r="G143" s="194" t="str">
        <f>'Base Details'!O150</f>
        <v>Instrument 2</v>
      </c>
      <c r="H143" s="195"/>
      <c r="I143" s="1" t="s">
        <v>187</v>
      </c>
      <c r="J143" s="1">
        <f>'Base Details'!J150</f>
        <v>0</v>
      </c>
      <c r="AE143" s="1">
        <f>SUM(K143:INDEX(K143:AD143,Level))+J143-IF(H143="",0,1)</f>
        <v>0</v>
      </c>
      <c r="AF143" s="26">
        <f t="shared" ref="AF143" si="281">IF(AE143&gt;30,100+AE143,VLOOKUP(AE143,Rank_Bonus,2,FALSE))</f>
        <v>-25</v>
      </c>
      <c r="AG143" s="26" t="e" cm="1">
        <f t="array" aca="1" ref="AG143" ca="1">IF(I143="NA",0,INDIRECT(LEFT(I143,2))+INDIRECT(MID(I143,4,2))+INDIRECT(RIGHT(I143,2)))</f>
        <v>#N/A</v>
      </c>
      <c r="AH143" s="26">
        <f t="shared" ref="AH143" si="282">IF(D143="X",MIN(30,AE143),0)</f>
        <v>0</v>
      </c>
      <c r="AI143" s="26">
        <f t="shared" ref="AI143" si="283">IF(E143="X",5,0)</f>
        <v>0</v>
      </c>
      <c r="AJ143" s="26"/>
      <c r="AK143" s="26" t="e">
        <f t="shared" ca="1" si="280"/>
        <v>#N/A</v>
      </c>
      <c r="AL143" s="32" t="e">
        <f t="shared" ca="1" si="184"/>
        <v>#N/A</v>
      </c>
      <c r="AP143" s="42">
        <f t="shared" ref="AP143" si="284">_xlfn.NUMBERVALUE(IF(K143=0,0,IF(K143=1,LEFT($C143,FIND("/",$C143)-1),SUM(LEFT($C143,FIND("/",$C143)-1),RIGHT($C143,LEN($C143)-FIND("/",$C143))))))</f>
        <v>0</v>
      </c>
      <c r="AQ143" s="42">
        <f t="shared" ref="AQ143" si="285">_xlfn.NUMBERVALUE(IF(L143=0,0,IF(L143=1,LEFT($C143,FIND("/",$C143)-1),SUM(LEFT($C143,FIND("/",$C143)-1),RIGHT($C143,LEN($C143)-FIND("/",$C143))))))</f>
        <v>0</v>
      </c>
      <c r="AR143" s="42">
        <f t="shared" ref="AR143" si="286">_xlfn.NUMBERVALUE(IF(M143=0,0,IF(M143=1,LEFT($C143,FIND("/",$C143)-1),SUM(LEFT($C143,FIND("/",$C143)-1),RIGHT($C143,LEN($C143)-FIND("/",$C143))))))</f>
        <v>0</v>
      </c>
      <c r="AS143" s="42">
        <f t="shared" ref="AS143" si="287">_xlfn.NUMBERVALUE(IF(N143=0,0,IF(N143=1,LEFT($C143,FIND("/",$C143)-1),SUM(LEFT($C143,FIND("/",$C143)-1),RIGHT($C143,LEN($C143)-FIND("/",$C143))))))</f>
        <v>0</v>
      </c>
      <c r="AT143" s="42">
        <f t="shared" ref="AT143" si="288">_xlfn.NUMBERVALUE(IF(O143=0,0,IF(O143=1,LEFT($C143,FIND("/",$C143)-1),SUM(LEFT($C143,FIND("/",$C143)-1),RIGHT($C143,LEN($C143)-FIND("/",$C143))))))</f>
        <v>0</v>
      </c>
      <c r="AU143" s="42">
        <f t="shared" ref="AU143" si="289">_xlfn.NUMBERVALUE(IF(P143=0,0,IF(P143=1,LEFT($C143,FIND("/",$C143)-1),SUM(LEFT($C143,FIND("/",$C143)-1),RIGHT($C143,LEN($C143)-FIND("/",$C143))))))</f>
        <v>0</v>
      </c>
      <c r="AV143" s="42">
        <f t="shared" ref="AV143" si="290">_xlfn.NUMBERVALUE(IF(Q143=0,0,IF(Q143=1,LEFT($C143,FIND("/",$C143)-1),SUM(LEFT($C143,FIND("/",$C143)-1),RIGHT($C143,LEN($C143)-FIND("/",$C143))))))</f>
        <v>0</v>
      </c>
      <c r="AW143" s="42">
        <f t="shared" ref="AW143" si="291">_xlfn.NUMBERVALUE(IF(R143=0,0,IF(R143=1,LEFT($C143,FIND("/",$C143)-1),SUM(LEFT($C143,FIND("/",$C143)-1),RIGHT($C143,LEN($C143)-FIND("/",$C143))))))</f>
        <v>0</v>
      </c>
      <c r="AX143" s="42">
        <f t="shared" ref="AX143" si="292">_xlfn.NUMBERVALUE(IF(S143=0,0,IF(S143=1,LEFT($C143,FIND("/",$C143)-1),SUM(LEFT($C143,FIND("/",$C143)-1),RIGHT($C143,LEN($C143)-FIND("/",$C143))))))</f>
        <v>0</v>
      </c>
      <c r="AY143" s="42">
        <f t="shared" ref="AY143" si="293">_xlfn.NUMBERVALUE(IF(T143=0,0,IF(T143=1,LEFT($C143,FIND("/",$C143)-1),SUM(LEFT($C143,FIND("/",$C143)-1),RIGHT($C143,LEN($C143)-FIND("/",$C143))))))</f>
        <v>0</v>
      </c>
      <c r="AZ143" s="42">
        <f t="shared" ref="AZ143" si="294">_xlfn.NUMBERVALUE(IF(U143=0,0,IF(U143=1,LEFT($C143,FIND("/",$C143)-1),SUM(LEFT($C143,FIND("/",$C143)-1),RIGHT($C143,LEN($C143)-FIND("/",$C143))))))</f>
        <v>0</v>
      </c>
      <c r="BA143" s="42">
        <f t="shared" ref="BA143" si="295">_xlfn.NUMBERVALUE(IF(V143=0,0,IF(V143=1,LEFT($C143,FIND("/",$C143)-1),SUM(LEFT($C143,FIND("/",$C143)-1),RIGHT($C143,LEN($C143)-FIND("/",$C143))))))</f>
        <v>0</v>
      </c>
      <c r="BB143" s="42">
        <f t="shared" ref="BB143" si="296">_xlfn.NUMBERVALUE(IF(W143=0,0,IF(W143=1,LEFT($C143,FIND("/",$C143)-1),SUM(LEFT($C143,FIND("/",$C143)-1),RIGHT($C143,LEN($C143)-FIND("/",$C143))))))</f>
        <v>0</v>
      </c>
      <c r="BC143" s="42">
        <f t="shared" ref="BC143" si="297">_xlfn.NUMBERVALUE(IF(X143=0,0,IF(X143=1,LEFT($C143,FIND("/",$C143)-1),SUM(LEFT($C143,FIND("/",$C143)-1),RIGHT($C143,LEN($C143)-FIND("/",$C143))))))</f>
        <v>0</v>
      </c>
      <c r="BD143" s="42">
        <f t="shared" ref="BD143" si="298">_xlfn.NUMBERVALUE(IF(Y143=0,0,IF(Y143=1,LEFT($C143,FIND("/",$C143)-1),SUM(LEFT($C143,FIND("/",$C143)-1),RIGHT($C143,LEN($C143)-FIND("/",$C143))))))</f>
        <v>0</v>
      </c>
      <c r="BE143" s="42">
        <f t="shared" ref="BE143" si="299">_xlfn.NUMBERVALUE(IF(Z143=0,0,IF(Z143=1,LEFT($C143,FIND("/",$C143)-1),SUM(LEFT($C143,FIND("/",$C143)-1),RIGHT($C143,LEN($C143)-FIND("/",$C143))))))</f>
        <v>0</v>
      </c>
      <c r="BF143" s="42">
        <f t="shared" ref="BF143" si="300">_xlfn.NUMBERVALUE(IF(AA143=0,0,IF(AA143=1,LEFT($C143,FIND("/",$C143)-1),SUM(LEFT($C143,FIND("/",$C143)-1),RIGHT($C143,LEN($C143)-FIND("/",$C143))))))</f>
        <v>0</v>
      </c>
      <c r="BG143" s="42">
        <f t="shared" ref="BG143" si="301">_xlfn.NUMBERVALUE(IF(AB143=0,0,IF(AB143=1,LEFT($C143,FIND("/",$C143)-1),SUM(LEFT($C143,FIND("/",$C143)-1),RIGHT($C143,LEN($C143)-FIND("/",$C143))))))</f>
        <v>0</v>
      </c>
      <c r="BH143" s="42">
        <f t="shared" ref="BH143" si="302">_xlfn.NUMBERVALUE(IF(AC143=0,0,IF(AC143=1,LEFT($C143,FIND("/",$C143)-1),SUM(LEFT($C143,FIND("/",$C143)-1),RIGHT($C143,LEN($C143)-FIND("/",$C143))))))</f>
        <v>0</v>
      </c>
      <c r="BI143" s="42">
        <f t="shared" ref="BI143" si="303">_xlfn.NUMBERVALUE(IF(AD143=0,0,IF(AD143=1,LEFT($C143,FIND("/",$C143)-1),SUM(LEFT($C143,FIND("/",$C143)-1),RIGHT($C143,LEN($C143)-FIND("/",$C143))))))</f>
        <v>0</v>
      </c>
    </row>
    <row r="144" spans="1:61" x14ac:dyDescent="0.25">
      <c r="A144" s="477"/>
      <c r="B144" s="21" t="s">
        <v>183</v>
      </c>
      <c r="C144" s="1" t="str">
        <f t="shared" si="279"/>
        <v>2/4</v>
      </c>
      <c r="D144" s="1" t="str">
        <f>IF(IF((COUNTIF(Professional_Skill_Options,'Skill Workbook'!F144)&gt;0),INDEX(Professional_Skill_Choices,MATCH(F144,Professional_Skill_Options,0)),FALSE),"X","")</f>
        <v/>
      </c>
      <c r="E144" s="1" t="str">
        <f>IF(IF((COUNTIF(Professional_Skill_Options,'Skill Workbook'!F144)&gt;0),INDEX(Professional_Skill_Knacks,MATCH(F144,Professional_Skill_Options,0)),FALSE),"X","")</f>
        <v/>
      </c>
      <c r="F144" t="s">
        <v>185</v>
      </c>
      <c r="G144" s="194" t="str">
        <f>'Base Details'!O151</f>
        <v>Instrument 3</v>
      </c>
      <c r="H144" s="195"/>
      <c r="I144" s="1" t="s">
        <v>187</v>
      </c>
      <c r="J144" s="1">
        <f>'Base Details'!J151</f>
        <v>0</v>
      </c>
      <c r="AE144" s="1">
        <f>SUM(K144:INDEX(K144:AD144,Level))+J144-IF(H144="",0,1)</f>
        <v>0</v>
      </c>
      <c r="AF144" s="26">
        <f t="shared" si="255"/>
        <v>-25</v>
      </c>
      <c r="AG144" s="26" t="e" cm="1">
        <f t="array" aca="1" ref="AG144" ca="1">IF(I144="NA",0,INDIRECT(LEFT(I144,2))+INDIRECT(MID(I144,4,2))+INDIRECT(RIGHT(I144,2)))</f>
        <v>#N/A</v>
      </c>
      <c r="AH144" s="26">
        <f t="shared" si="276"/>
        <v>0</v>
      </c>
      <c r="AI144" s="26">
        <f t="shared" si="277"/>
        <v>0</v>
      </c>
      <c r="AJ144" s="26"/>
      <c r="AK144" s="26" t="e">
        <f t="shared" ca="1" si="280"/>
        <v>#N/A</v>
      </c>
      <c r="AL144" s="32" t="e">
        <f t="shared" ca="1" si="184"/>
        <v>#N/A</v>
      </c>
      <c r="AP144" s="42">
        <f t="shared" si="256"/>
        <v>0</v>
      </c>
      <c r="AQ144" s="42">
        <f t="shared" si="257"/>
        <v>0</v>
      </c>
      <c r="AR144" s="42">
        <f t="shared" si="258"/>
        <v>0</v>
      </c>
      <c r="AS144" s="42">
        <f t="shared" si="259"/>
        <v>0</v>
      </c>
      <c r="AT144" s="42">
        <f t="shared" si="260"/>
        <v>0</v>
      </c>
      <c r="AU144" s="42">
        <f t="shared" si="261"/>
        <v>0</v>
      </c>
      <c r="AV144" s="42">
        <f t="shared" si="262"/>
        <v>0</v>
      </c>
      <c r="AW144" s="42">
        <f t="shared" si="263"/>
        <v>0</v>
      </c>
      <c r="AX144" s="42">
        <f t="shared" si="264"/>
        <v>0</v>
      </c>
      <c r="AY144" s="42">
        <f t="shared" si="265"/>
        <v>0</v>
      </c>
      <c r="AZ144" s="42">
        <f t="shared" si="266"/>
        <v>0</v>
      </c>
      <c r="BA144" s="42">
        <f t="shared" si="267"/>
        <v>0</v>
      </c>
      <c r="BB144" s="42">
        <f t="shared" si="268"/>
        <v>0</v>
      </c>
      <c r="BC144" s="42">
        <f t="shared" si="269"/>
        <v>0</v>
      </c>
      <c r="BD144" s="42">
        <f t="shared" si="270"/>
        <v>0</v>
      </c>
      <c r="BE144" s="42">
        <f t="shared" si="271"/>
        <v>0</v>
      </c>
      <c r="BF144" s="42">
        <f t="shared" si="272"/>
        <v>0</v>
      </c>
      <c r="BG144" s="42">
        <f t="shared" si="273"/>
        <v>0</v>
      </c>
      <c r="BH144" s="42">
        <f t="shared" si="274"/>
        <v>0</v>
      </c>
      <c r="BI144" s="42">
        <f t="shared" si="275"/>
        <v>0</v>
      </c>
    </row>
    <row r="145" spans="1:61" x14ac:dyDescent="0.25">
      <c r="A145" s="477"/>
      <c r="B145" s="21" t="s">
        <v>183</v>
      </c>
      <c r="C145" s="1" t="str">
        <f t="shared" si="279"/>
        <v>2/4</v>
      </c>
      <c r="D145" s="1" t="str">
        <f>IF(IF((COUNTIF(Professional_Skill_Options,'Skill Workbook'!F145)&gt;0),INDEX(Professional_Skill_Choices,MATCH(F145,Professional_Skill_Options,0)),FALSE),"X","")</f>
        <v/>
      </c>
      <c r="E145" s="1" t="str">
        <f>IF(IF((COUNTIF(Professional_Skill_Options,'Skill Workbook'!F145)&gt;0),INDEX(Professional_Skill_Knacks,MATCH(F145,Professional_Skill_Options,0)),FALSE),"X","")</f>
        <v/>
      </c>
      <c r="F145" t="s">
        <v>186</v>
      </c>
      <c r="G145" s="196"/>
      <c r="H145" s="198"/>
      <c r="I145" s="1" t="s">
        <v>188</v>
      </c>
      <c r="J145" s="1">
        <f>'Base Details'!J152</f>
        <v>0</v>
      </c>
      <c r="AE145" s="1">
        <f>SUM(K145:INDEX(K145:AD145,Level))+J145-IF(H145="",0,1)</f>
        <v>0</v>
      </c>
      <c r="AF145" s="26">
        <f t="shared" si="255"/>
        <v>-25</v>
      </c>
      <c r="AG145" s="26" t="e" cm="1">
        <f t="array" aca="1" ref="AG145" ca="1">IF(I145="NA",0,INDIRECT(LEFT(I145,2))+INDIRECT(MID(I145,4,2))+INDIRECT(RIGHT(I145,2)))</f>
        <v>#N/A</v>
      </c>
      <c r="AH145" s="26">
        <f t="shared" si="276"/>
        <v>0</v>
      </c>
      <c r="AI145" s="26">
        <f t="shared" si="277"/>
        <v>0</v>
      </c>
      <c r="AJ145" s="26"/>
      <c r="AK145" s="26" t="e">
        <f t="shared" ca="1" si="280"/>
        <v>#N/A</v>
      </c>
      <c r="AL145" s="32" t="e">
        <f t="shared" ca="1" si="184"/>
        <v>#N/A</v>
      </c>
      <c r="AP145" s="42">
        <f t="shared" si="256"/>
        <v>0</v>
      </c>
      <c r="AQ145" s="42">
        <f t="shared" si="257"/>
        <v>0</v>
      </c>
      <c r="AR145" s="42">
        <f t="shared" si="258"/>
        <v>0</v>
      </c>
      <c r="AS145" s="42">
        <f t="shared" si="259"/>
        <v>0</v>
      </c>
      <c r="AT145" s="42">
        <f t="shared" si="260"/>
        <v>0</v>
      </c>
      <c r="AU145" s="42">
        <f t="shared" si="261"/>
        <v>0</v>
      </c>
      <c r="AV145" s="42">
        <f t="shared" si="262"/>
        <v>0</v>
      </c>
      <c r="AW145" s="42">
        <f t="shared" si="263"/>
        <v>0</v>
      </c>
      <c r="AX145" s="42">
        <f t="shared" si="264"/>
        <v>0</v>
      </c>
      <c r="AY145" s="42">
        <f t="shared" si="265"/>
        <v>0</v>
      </c>
      <c r="AZ145" s="42">
        <f t="shared" si="266"/>
        <v>0</v>
      </c>
      <c r="BA145" s="42">
        <f t="shared" si="267"/>
        <v>0</v>
      </c>
      <c r="BB145" s="42">
        <f t="shared" si="268"/>
        <v>0</v>
      </c>
      <c r="BC145" s="42">
        <f t="shared" si="269"/>
        <v>0</v>
      </c>
      <c r="BD145" s="42">
        <f t="shared" si="270"/>
        <v>0</v>
      </c>
      <c r="BE145" s="42">
        <f t="shared" si="271"/>
        <v>0</v>
      </c>
      <c r="BF145" s="42">
        <f t="shared" si="272"/>
        <v>0</v>
      </c>
      <c r="BG145" s="42">
        <f t="shared" si="273"/>
        <v>0</v>
      </c>
      <c r="BH145" s="42">
        <f t="shared" si="274"/>
        <v>0</v>
      </c>
      <c r="BI145" s="42">
        <f t="shared" si="275"/>
        <v>0</v>
      </c>
    </row>
    <row r="146" spans="1:61" x14ac:dyDescent="0.25">
      <c r="A146" s="477"/>
      <c r="B146" s="21" t="s">
        <v>189</v>
      </c>
      <c r="C146" s="1" t="str">
        <f t="shared" si="279"/>
        <v>4/6</v>
      </c>
      <c r="D146" s="1" t="str">
        <f>IF(IF((COUNTIF(Professional_Skill_Options,'Skill Workbook'!F146)&gt;0),INDEX(Professional_Skill_Choices,MATCH(F146,Professional_Skill_Options,0)),FALSE),"X","")</f>
        <v/>
      </c>
      <c r="E146" s="1" t="str">
        <f>IF(IF((COUNTIF(Professional_Skill_Options,'Skill Workbook'!F146)&gt;0),INDEX(Professional_Skill_Knacks,MATCH(F146,Professional_Skill_Options,0)),FALSE),"X","")</f>
        <v/>
      </c>
      <c r="F146" t="s">
        <v>60</v>
      </c>
      <c r="G146" s="196"/>
      <c r="H146" s="198"/>
      <c r="I146" s="1" t="s">
        <v>193</v>
      </c>
      <c r="J146" s="46"/>
      <c r="AE146" s="1">
        <f>SUM(K146:INDEX(K146:AD146,Level))+J146-IF(H146="",0,1)</f>
        <v>0</v>
      </c>
      <c r="AF146" s="26">
        <f t="shared" ref="AF146:AF176" si="304">IF(AE146&gt;30,100+AE146,VLOOKUP(AE146,Rank_Bonus,2,FALSE))</f>
        <v>-25</v>
      </c>
      <c r="AG146" s="26" t="e" cm="1">
        <f t="array" aca="1" ref="AG146" ca="1">IF(I146="NA",0,INDIRECT(LEFT(I146,2))+INDIRECT(MID(I146,4,2))+INDIRECT(RIGHT(I146,2)))</f>
        <v>#N/A</v>
      </c>
      <c r="AH146" s="26">
        <f t="shared" si="276"/>
        <v>0</v>
      </c>
      <c r="AI146" s="26">
        <f t="shared" si="277"/>
        <v>0</v>
      </c>
      <c r="AJ146" s="26"/>
      <c r="AK146" s="26" t="e">
        <f t="shared" ca="1" si="280"/>
        <v>#N/A</v>
      </c>
      <c r="AL146" s="32" t="e">
        <f t="shared" ca="1" si="184"/>
        <v>#N/A</v>
      </c>
      <c r="AP146" s="42">
        <f t="shared" ref="AP146:AP176" si="305">_xlfn.NUMBERVALUE(IF(K146=0,0,IF(K146=1,LEFT($C146,FIND("/",$C146)-1),SUM(LEFT($C146,FIND("/",$C146)-1),RIGHT($C146,LEN($C146)-FIND("/",$C146))))))</f>
        <v>0</v>
      </c>
      <c r="AQ146" s="42">
        <f t="shared" ref="AQ146:AQ176" si="306">_xlfn.NUMBERVALUE(IF(L146=0,0,IF(L146=1,LEFT($C146,FIND("/",$C146)-1),SUM(LEFT($C146,FIND("/",$C146)-1),RIGHT($C146,LEN($C146)-FIND("/",$C146))))))</f>
        <v>0</v>
      </c>
      <c r="AR146" s="42">
        <f t="shared" ref="AR146:AR176" si="307">_xlfn.NUMBERVALUE(IF(M146=0,0,IF(M146=1,LEFT($C146,FIND("/",$C146)-1),SUM(LEFT($C146,FIND("/",$C146)-1),RIGHT($C146,LEN($C146)-FIND("/",$C146))))))</f>
        <v>0</v>
      </c>
      <c r="AS146" s="42">
        <f t="shared" ref="AS146:AS176" si="308">_xlfn.NUMBERVALUE(IF(N146=0,0,IF(N146=1,LEFT($C146,FIND("/",$C146)-1),SUM(LEFT($C146,FIND("/",$C146)-1),RIGHT($C146,LEN($C146)-FIND("/",$C146))))))</f>
        <v>0</v>
      </c>
      <c r="AT146" s="42">
        <f t="shared" ref="AT146:AT176" si="309">_xlfn.NUMBERVALUE(IF(O146=0,0,IF(O146=1,LEFT($C146,FIND("/",$C146)-1),SUM(LEFT($C146,FIND("/",$C146)-1),RIGHT($C146,LEN($C146)-FIND("/",$C146))))))</f>
        <v>0</v>
      </c>
      <c r="AU146" s="42">
        <f t="shared" ref="AU146:AU176" si="310">_xlfn.NUMBERVALUE(IF(P146=0,0,IF(P146=1,LEFT($C146,FIND("/",$C146)-1),SUM(LEFT($C146,FIND("/",$C146)-1),RIGHT($C146,LEN($C146)-FIND("/",$C146))))))</f>
        <v>0</v>
      </c>
      <c r="AV146" s="42">
        <f t="shared" ref="AV146:AV176" si="311">_xlfn.NUMBERVALUE(IF(Q146=0,0,IF(Q146=1,LEFT($C146,FIND("/",$C146)-1),SUM(LEFT($C146,FIND("/",$C146)-1),RIGHT($C146,LEN($C146)-FIND("/",$C146))))))</f>
        <v>0</v>
      </c>
      <c r="AW146" s="42">
        <f t="shared" ref="AW146:AW176" si="312">_xlfn.NUMBERVALUE(IF(R146=0,0,IF(R146=1,LEFT($C146,FIND("/",$C146)-1),SUM(LEFT($C146,FIND("/",$C146)-1),RIGHT($C146,LEN($C146)-FIND("/",$C146))))))</f>
        <v>0</v>
      </c>
      <c r="AX146" s="42">
        <f t="shared" ref="AX146:AX176" si="313">_xlfn.NUMBERVALUE(IF(S146=0,0,IF(S146=1,LEFT($C146,FIND("/",$C146)-1),SUM(LEFT($C146,FIND("/",$C146)-1),RIGHT($C146,LEN($C146)-FIND("/",$C146))))))</f>
        <v>0</v>
      </c>
      <c r="AY146" s="42">
        <f t="shared" ref="AY146:AY176" si="314">_xlfn.NUMBERVALUE(IF(T146=0,0,IF(T146=1,LEFT($C146,FIND("/",$C146)-1),SUM(LEFT($C146,FIND("/",$C146)-1),RIGHT($C146,LEN($C146)-FIND("/",$C146))))))</f>
        <v>0</v>
      </c>
      <c r="AZ146" s="42">
        <f t="shared" ref="AZ146:AZ176" si="315">_xlfn.NUMBERVALUE(IF(U146=0,0,IF(U146=1,LEFT($C146,FIND("/",$C146)-1),SUM(LEFT($C146,FIND("/",$C146)-1),RIGHT($C146,LEN($C146)-FIND("/",$C146))))))</f>
        <v>0</v>
      </c>
      <c r="BA146" s="42">
        <f t="shared" ref="BA146:BA176" si="316">_xlfn.NUMBERVALUE(IF(V146=0,0,IF(V146=1,LEFT($C146,FIND("/",$C146)-1),SUM(LEFT($C146,FIND("/",$C146)-1),RIGHT($C146,LEN($C146)-FIND("/",$C146))))))</f>
        <v>0</v>
      </c>
      <c r="BB146" s="42">
        <f t="shared" ref="BB146:BB176" si="317">_xlfn.NUMBERVALUE(IF(W146=0,0,IF(W146=1,LEFT($C146,FIND("/",$C146)-1),SUM(LEFT($C146,FIND("/",$C146)-1),RIGHT($C146,LEN($C146)-FIND("/",$C146))))))</f>
        <v>0</v>
      </c>
      <c r="BC146" s="42">
        <f t="shared" ref="BC146:BC176" si="318">_xlfn.NUMBERVALUE(IF(X146=0,0,IF(X146=1,LEFT($C146,FIND("/",$C146)-1),SUM(LEFT($C146,FIND("/",$C146)-1),RIGHT($C146,LEN($C146)-FIND("/",$C146))))))</f>
        <v>0</v>
      </c>
      <c r="BD146" s="42">
        <f t="shared" ref="BD146:BD176" si="319">_xlfn.NUMBERVALUE(IF(Y146=0,0,IF(Y146=1,LEFT($C146,FIND("/",$C146)-1),SUM(LEFT($C146,FIND("/",$C146)-1),RIGHT($C146,LEN($C146)-FIND("/",$C146))))))</f>
        <v>0</v>
      </c>
      <c r="BE146" s="42">
        <f t="shared" ref="BE146:BE176" si="320">_xlfn.NUMBERVALUE(IF(Z146=0,0,IF(Z146=1,LEFT($C146,FIND("/",$C146)-1),SUM(LEFT($C146,FIND("/",$C146)-1),RIGHT($C146,LEN($C146)-FIND("/",$C146))))))</f>
        <v>0</v>
      </c>
      <c r="BF146" s="42">
        <f t="shared" ref="BF146:BF176" si="321">_xlfn.NUMBERVALUE(IF(AA146=0,0,IF(AA146=1,LEFT($C146,FIND("/",$C146)-1),SUM(LEFT($C146,FIND("/",$C146)-1),RIGHT($C146,LEN($C146)-FIND("/",$C146))))))</f>
        <v>0</v>
      </c>
      <c r="BG146" s="42">
        <f t="shared" ref="BG146:BG176" si="322">_xlfn.NUMBERVALUE(IF(AB146=0,0,IF(AB146=1,LEFT($C146,FIND("/",$C146)-1),SUM(LEFT($C146,FIND("/",$C146)-1),RIGHT($C146,LEN($C146)-FIND("/",$C146))))))</f>
        <v>0</v>
      </c>
      <c r="BH146" s="42">
        <f t="shared" ref="BH146:BH176" si="323">_xlfn.NUMBERVALUE(IF(AC146=0,0,IF(AC146=1,LEFT($C146,FIND("/",$C146)-1),SUM(LEFT($C146,FIND("/",$C146)-1),RIGHT($C146,LEN($C146)-FIND("/",$C146))))))</f>
        <v>0</v>
      </c>
      <c r="BI146" s="42">
        <f t="shared" ref="BI146:BI176" si="324">_xlfn.NUMBERVALUE(IF(AD146=0,0,IF(AD146=1,LEFT($C146,FIND("/",$C146)-1),SUM(LEFT($C146,FIND("/",$C146)-1),RIGHT($C146,LEN($C146)-FIND("/",$C146))))))</f>
        <v>0</v>
      </c>
    </row>
    <row r="147" spans="1:61" x14ac:dyDescent="0.25">
      <c r="A147" s="477"/>
      <c r="B147" s="21" t="s">
        <v>189</v>
      </c>
      <c r="C147" s="1" t="str">
        <f t="shared" si="279"/>
        <v>4/6</v>
      </c>
      <c r="D147" s="1" t="str">
        <f>IF(IF((COUNTIF(Professional_Skill_Options,'Skill Workbook'!F147)&gt;0),INDEX(Professional_Skill_Choices,MATCH(F147,Professional_Skill_Options,0)),FALSE),"X","")</f>
        <v/>
      </c>
      <c r="E147" s="1" t="str">
        <f>IF(IF((COUNTIF(Professional_Skill_Options,'Skill Workbook'!F147)&gt;0),INDEX(Professional_Skill_Knacks,MATCH(F147,Professional_Skill_Options,0)),FALSE),"X","")</f>
        <v/>
      </c>
      <c r="F147" t="s">
        <v>190</v>
      </c>
      <c r="G147" s="194" t="s">
        <v>462</v>
      </c>
      <c r="H147" s="195"/>
      <c r="I147" s="1" t="s">
        <v>194</v>
      </c>
      <c r="J147" s="46"/>
      <c r="AE147" s="1">
        <f>SUM(K147:INDEX(K147:AD147,Level))+J147-IF(H147="",0,1)</f>
        <v>0</v>
      </c>
      <c r="AF147" s="26">
        <f t="shared" si="304"/>
        <v>-25</v>
      </c>
      <c r="AG147" s="26" t="e" cm="1">
        <f t="array" aca="1" ref="AG147" ca="1">IF(I147="NA",0,INDIRECT(LEFT(I147,2))+INDIRECT(MID(I147,4,2))+INDIRECT(RIGHT(I147,2)))</f>
        <v>#N/A</v>
      </c>
      <c r="AH147" s="26">
        <f t="shared" si="276"/>
        <v>0</v>
      </c>
      <c r="AI147" s="26">
        <f t="shared" si="277"/>
        <v>0</v>
      </c>
      <c r="AJ147" s="26">
        <f>Main!$L$36</f>
        <v>0</v>
      </c>
      <c r="AK147" s="26" t="e">
        <f t="shared" ca="1" si="280"/>
        <v>#N/A</v>
      </c>
      <c r="AL147" s="32" t="e">
        <f t="shared" ca="1" si="184"/>
        <v>#N/A</v>
      </c>
      <c r="AP147" s="42">
        <f t="shared" si="305"/>
        <v>0</v>
      </c>
      <c r="AQ147" s="42">
        <f t="shared" si="306"/>
        <v>0</v>
      </c>
      <c r="AR147" s="42">
        <f t="shared" si="307"/>
        <v>0</v>
      </c>
      <c r="AS147" s="42">
        <f t="shared" si="308"/>
        <v>0</v>
      </c>
      <c r="AT147" s="42">
        <f t="shared" si="309"/>
        <v>0</v>
      </c>
      <c r="AU147" s="42">
        <f t="shared" si="310"/>
        <v>0</v>
      </c>
      <c r="AV147" s="42">
        <f t="shared" si="311"/>
        <v>0</v>
      </c>
      <c r="AW147" s="42">
        <f t="shared" si="312"/>
        <v>0</v>
      </c>
      <c r="AX147" s="42">
        <f t="shared" si="313"/>
        <v>0</v>
      </c>
      <c r="AY147" s="42">
        <f t="shared" si="314"/>
        <v>0</v>
      </c>
      <c r="AZ147" s="42">
        <f t="shared" si="315"/>
        <v>0</v>
      </c>
      <c r="BA147" s="42">
        <f t="shared" si="316"/>
        <v>0</v>
      </c>
      <c r="BB147" s="42">
        <f t="shared" si="317"/>
        <v>0</v>
      </c>
      <c r="BC147" s="42">
        <f t="shared" si="318"/>
        <v>0</v>
      </c>
      <c r="BD147" s="42">
        <f t="shared" si="319"/>
        <v>0</v>
      </c>
      <c r="BE147" s="42">
        <f t="shared" si="320"/>
        <v>0</v>
      </c>
      <c r="BF147" s="42">
        <f t="shared" si="321"/>
        <v>0</v>
      </c>
      <c r="BG147" s="42">
        <f t="shared" si="322"/>
        <v>0</v>
      </c>
      <c r="BH147" s="42">
        <f t="shared" si="323"/>
        <v>0</v>
      </c>
      <c r="BI147" s="42">
        <f t="shared" si="324"/>
        <v>0</v>
      </c>
    </row>
    <row r="148" spans="1:61" x14ac:dyDescent="0.25">
      <c r="A148" s="477"/>
      <c r="B148" s="21" t="s">
        <v>189</v>
      </c>
      <c r="C148" s="1" t="str">
        <f t="shared" si="279"/>
        <v>4/6</v>
      </c>
      <c r="D148" s="1" t="str">
        <f>IF(IF((COUNTIF(Professional_Skill_Options,'Skill Workbook'!F148)&gt;0),INDEX(Professional_Skill_Choices,MATCH(F148,Professional_Skill_Options,0)),FALSE),"X","")</f>
        <v/>
      </c>
      <c r="E148" s="1" t="str">
        <f>IF(IF((COUNTIF(Professional_Skill_Options,'Skill Workbook'!F148)&gt;0),INDEX(Professional_Skill_Knacks,MATCH(F148,Professional_Skill_Options,0)),FALSE),"X","")</f>
        <v/>
      </c>
      <c r="F148" t="s">
        <v>190</v>
      </c>
      <c r="G148" s="194" t="s">
        <v>463</v>
      </c>
      <c r="H148" s="195"/>
      <c r="I148" s="1" t="s">
        <v>194</v>
      </c>
      <c r="J148" s="46"/>
      <c r="AE148" s="1">
        <f>SUM(K148:INDEX(K148:AD148,Level))+J148-IF(H148="",0,1)</f>
        <v>0</v>
      </c>
      <c r="AF148" s="26">
        <f t="shared" ref="AF148" si="325">IF(AE148&gt;30,100+AE148,VLOOKUP(AE148,Rank_Bonus,2,FALSE))</f>
        <v>-25</v>
      </c>
      <c r="AG148" s="26" t="e" cm="1">
        <f t="array" aca="1" ref="AG148" ca="1">IF(I148="NA",0,INDIRECT(LEFT(I148,2))+INDIRECT(MID(I148,4,2))+INDIRECT(RIGHT(I148,2)))</f>
        <v>#N/A</v>
      </c>
      <c r="AH148" s="26">
        <f t="shared" ref="AH148" si="326">IF(D148="X",MIN(30,AE148),0)</f>
        <v>0</v>
      </c>
      <c r="AI148" s="26">
        <f t="shared" ref="AI148" si="327">IF(E148="X",5,0)</f>
        <v>0</v>
      </c>
      <c r="AJ148" s="26">
        <f>Main!$L$36</f>
        <v>0</v>
      </c>
      <c r="AK148" s="26" t="e">
        <f t="shared" ca="1" si="280"/>
        <v>#N/A</v>
      </c>
      <c r="AL148" s="32" t="e">
        <f t="shared" ca="1" si="184"/>
        <v>#N/A</v>
      </c>
      <c r="AP148" s="42">
        <f t="shared" ref="AP148" si="328">_xlfn.NUMBERVALUE(IF(K148=0,0,IF(K148=1,LEFT($C148,FIND("/",$C148)-1),SUM(LEFT($C148,FIND("/",$C148)-1),RIGHT($C148,LEN($C148)-FIND("/",$C148))))))</f>
        <v>0</v>
      </c>
      <c r="AQ148" s="42">
        <f t="shared" ref="AQ148" si="329">_xlfn.NUMBERVALUE(IF(L148=0,0,IF(L148=1,LEFT($C148,FIND("/",$C148)-1),SUM(LEFT($C148,FIND("/",$C148)-1),RIGHT($C148,LEN($C148)-FIND("/",$C148))))))</f>
        <v>0</v>
      </c>
      <c r="AR148" s="42">
        <f t="shared" ref="AR148" si="330">_xlfn.NUMBERVALUE(IF(M148=0,0,IF(M148=1,LEFT($C148,FIND("/",$C148)-1),SUM(LEFT($C148,FIND("/",$C148)-1),RIGHT($C148,LEN($C148)-FIND("/",$C148))))))</f>
        <v>0</v>
      </c>
      <c r="AS148" s="42">
        <f t="shared" ref="AS148" si="331">_xlfn.NUMBERVALUE(IF(N148=0,0,IF(N148=1,LEFT($C148,FIND("/",$C148)-1),SUM(LEFT($C148,FIND("/",$C148)-1),RIGHT($C148,LEN($C148)-FIND("/",$C148))))))</f>
        <v>0</v>
      </c>
      <c r="AT148" s="42">
        <f t="shared" ref="AT148" si="332">_xlfn.NUMBERVALUE(IF(O148=0,0,IF(O148=1,LEFT($C148,FIND("/",$C148)-1),SUM(LEFT($C148,FIND("/",$C148)-1),RIGHT($C148,LEN($C148)-FIND("/",$C148))))))</f>
        <v>0</v>
      </c>
      <c r="AU148" s="42">
        <f t="shared" ref="AU148" si="333">_xlfn.NUMBERVALUE(IF(P148=0,0,IF(P148=1,LEFT($C148,FIND("/",$C148)-1),SUM(LEFT($C148,FIND("/",$C148)-1),RIGHT($C148,LEN($C148)-FIND("/",$C148))))))</f>
        <v>0</v>
      </c>
      <c r="AV148" s="42">
        <f t="shared" ref="AV148" si="334">_xlfn.NUMBERVALUE(IF(Q148=0,0,IF(Q148=1,LEFT($C148,FIND("/",$C148)-1),SUM(LEFT($C148,FIND("/",$C148)-1),RIGHT($C148,LEN($C148)-FIND("/",$C148))))))</f>
        <v>0</v>
      </c>
      <c r="AW148" s="42">
        <f t="shared" ref="AW148" si="335">_xlfn.NUMBERVALUE(IF(R148=0,0,IF(R148=1,LEFT($C148,FIND("/",$C148)-1),SUM(LEFT($C148,FIND("/",$C148)-1),RIGHT($C148,LEN($C148)-FIND("/",$C148))))))</f>
        <v>0</v>
      </c>
      <c r="AX148" s="42">
        <f t="shared" ref="AX148" si="336">_xlfn.NUMBERVALUE(IF(S148=0,0,IF(S148=1,LEFT($C148,FIND("/",$C148)-1),SUM(LEFT($C148,FIND("/",$C148)-1),RIGHT($C148,LEN($C148)-FIND("/",$C148))))))</f>
        <v>0</v>
      </c>
      <c r="AY148" s="42">
        <f t="shared" ref="AY148" si="337">_xlfn.NUMBERVALUE(IF(T148=0,0,IF(T148=1,LEFT($C148,FIND("/",$C148)-1),SUM(LEFT($C148,FIND("/",$C148)-1),RIGHT($C148,LEN($C148)-FIND("/",$C148))))))</f>
        <v>0</v>
      </c>
      <c r="AZ148" s="42">
        <f t="shared" ref="AZ148" si="338">_xlfn.NUMBERVALUE(IF(U148=0,0,IF(U148=1,LEFT($C148,FIND("/",$C148)-1),SUM(LEFT($C148,FIND("/",$C148)-1),RIGHT($C148,LEN($C148)-FIND("/",$C148))))))</f>
        <v>0</v>
      </c>
      <c r="BA148" s="42">
        <f t="shared" ref="BA148" si="339">_xlfn.NUMBERVALUE(IF(V148=0,0,IF(V148=1,LEFT($C148,FIND("/",$C148)-1),SUM(LEFT($C148,FIND("/",$C148)-1),RIGHT($C148,LEN($C148)-FIND("/",$C148))))))</f>
        <v>0</v>
      </c>
      <c r="BB148" s="42">
        <f t="shared" ref="BB148" si="340">_xlfn.NUMBERVALUE(IF(W148=0,0,IF(W148=1,LEFT($C148,FIND("/",$C148)-1),SUM(LEFT($C148,FIND("/",$C148)-1),RIGHT($C148,LEN($C148)-FIND("/",$C148))))))</f>
        <v>0</v>
      </c>
      <c r="BC148" s="42">
        <f t="shared" ref="BC148" si="341">_xlfn.NUMBERVALUE(IF(X148=0,0,IF(X148=1,LEFT($C148,FIND("/",$C148)-1),SUM(LEFT($C148,FIND("/",$C148)-1),RIGHT($C148,LEN($C148)-FIND("/",$C148))))))</f>
        <v>0</v>
      </c>
      <c r="BD148" s="42">
        <f t="shared" ref="BD148" si="342">_xlfn.NUMBERVALUE(IF(Y148=0,0,IF(Y148=1,LEFT($C148,FIND("/",$C148)-1),SUM(LEFT($C148,FIND("/",$C148)-1),RIGHT($C148,LEN($C148)-FIND("/",$C148))))))</f>
        <v>0</v>
      </c>
      <c r="BE148" s="42">
        <f t="shared" ref="BE148" si="343">_xlfn.NUMBERVALUE(IF(Z148=0,0,IF(Z148=1,LEFT($C148,FIND("/",$C148)-1),SUM(LEFT($C148,FIND("/",$C148)-1),RIGHT($C148,LEN($C148)-FIND("/",$C148))))))</f>
        <v>0</v>
      </c>
      <c r="BF148" s="42">
        <f t="shared" ref="BF148" si="344">_xlfn.NUMBERVALUE(IF(AA148=0,0,IF(AA148=1,LEFT($C148,FIND("/",$C148)-1),SUM(LEFT($C148,FIND("/",$C148)-1),RIGHT($C148,LEN($C148)-FIND("/",$C148))))))</f>
        <v>0</v>
      </c>
      <c r="BG148" s="42">
        <f t="shared" ref="BG148" si="345">_xlfn.NUMBERVALUE(IF(AB148=0,0,IF(AB148=1,LEFT($C148,FIND("/",$C148)-1),SUM(LEFT($C148,FIND("/",$C148)-1),RIGHT($C148,LEN($C148)-FIND("/",$C148))))))</f>
        <v>0</v>
      </c>
      <c r="BH148" s="42">
        <f t="shared" ref="BH148" si="346">_xlfn.NUMBERVALUE(IF(AC148=0,0,IF(AC148=1,LEFT($C148,FIND("/",$C148)-1),SUM(LEFT($C148,FIND("/",$C148)-1),RIGHT($C148,LEN($C148)-FIND("/",$C148))))))</f>
        <v>0</v>
      </c>
      <c r="BI148" s="42">
        <f t="shared" ref="BI148" si="347">_xlfn.NUMBERVALUE(IF(AD148=0,0,IF(AD148=1,LEFT($C148,FIND("/",$C148)-1),SUM(LEFT($C148,FIND("/",$C148)-1),RIGHT($C148,LEN($C148)-FIND("/",$C148))))))</f>
        <v>0</v>
      </c>
    </row>
    <row r="149" spans="1:61" x14ac:dyDescent="0.25">
      <c r="A149" s="477"/>
      <c r="B149" s="21" t="s">
        <v>189</v>
      </c>
      <c r="C149" s="1" t="str">
        <f t="shared" si="279"/>
        <v>4/6</v>
      </c>
      <c r="D149" s="1" t="str">
        <f>IF(IF((COUNTIF(Professional_Skill_Options,'Skill Workbook'!F149)&gt;0),INDEX(Professional_Skill_Choices,MATCH(F149,Professional_Skill_Options,0)),FALSE),"X","")</f>
        <v/>
      </c>
      <c r="E149" s="1" t="str">
        <f>IF(IF((COUNTIF(Professional_Skill_Options,'Skill Workbook'!F149)&gt;0),INDEX(Professional_Skill_Knacks,MATCH(F149,Professional_Skill_Options,0)),FALSE),"X","")</f>
        <v/>
      </c>
      <c r="F149" t="s">
        <v>190</v>
      </c>
      <c r="G149" s="194" t="s">
        <v>464</v>
      </c>
      <c r="H149" s="195"/>
      <c r="I149" s="1" t="s">
        <v>194</v>
      </c>
      <c r="J149" s="46"/>
      <c r="AE149" s="1">
        <f>SUM(K149:INDEX(K149:AD149,Level))+J149-IF(H149="",0,1)</f>
        <v>0</v>
      </c>
      <c r="AF149" s="26">
        <f t="shared" si="304"/>
        <v>-25</v>
      </c>
      <c r="AG149" s="26" t="e" cm="1">
        <f t="array" aca="1" ref="AG149" ca="1">IF(I149="NA",0,INDIRECT(LEFT(I149,2))+INDIRECT(MID(I149,4,2))+INDIRECT(RIGHT(I149,2)))</f>
        <v>#N/A</v>
      </c>
      <c r="AH149" s="26">
        <f t="shared" si="276"/>
        <v>0</v>
      </c>
      <c r="AI149" s="26">
        <f t="shared" si="277"/>
        <v>0</v>
      </c>
      <c r="AJ149" s="26">
        <f>Main!$L$36</f>
        <v>0</v>
      </c>
      <c r="AK149" s="26" t="e">
        <f t="shared" ca="1" si="280"/>
        <v>#N/A</v>
      </c>
      <c r="AL149" s="32" t="e">
        <f t="shared" ca="1" si="184"/>
        <v>#N/A</v>
      </c>
      <c r="AP149" s="42">
        <f t="shared" si="305"/>
        <v>0</v>
      </c>
      <c r="AQ149" s="42">
        <f t="shared" si="306"/>
        <v>0</v>
      </c>
      <c r="AR149" s="42">
        <f t="shared" si="307"/>
        <v>0</v>
      </c>
      <c r="AS149" s="42">
        <f t="shared" si="308"/>
        <v>0</v>
      </c>
      <c r="AT149" s="42">
        <f t="shared" si="309"/>
        <v>0</v>
      </c>
      <c r="AU149" s="42">
        <f t="shared" si="310"/>
        <v>0</v>
      </c>
      <c r="AV149" s="42">
        <f t="shared" si="311"/>
        <v>0</v>
      </c>
      <c r="AW149" s="42">
        <f t="shared" si="312"/>
        <v>0</v>
      </c>
      <c r="AX149" s="42">
        <f t="shared" si="313"/>
        <v>0</v>
      </c>
      <c r="AY149" s="42">
        <f t="shared" si="314"/>
        <v>0</v>
      </c>
      <c r="AZ149" s="42">
        <f t="shared" si="315"/>
        <v>0</v>
      </c>
      <c r="BA149" s="42">
        <f t="shared" si="316"/>
        <v>0</v>
      </c>
      <c r="BB149" s="42">
        <f t="shared" si="317"/>
        <v>0</v>
      </c>
      <c r="BC149" s="42">
        <f t="shared" si="318"/>
        <v>0</v>
      </c>
      <c r="BD149" s="42">
        <f t="shared" si="319"/>
        <v>0</v>
      </c>
      <c r="BE149" s="42">
        <f t="shared" si="320"/>
        <v>0</v>
      </c>
      <c r="BF149" s="42">
        <f t="shared" si="321"/>
        <v>0</v>
      </c>
      <c r="BG149" s="42">
        <f t="shared" si="322"/>
        <v>0</v>
      </c>
      <c r="BH149" s="42">
        <f t="shared" si="323"/>
        <v>0</v>
      </c>
      <c r="BI149" s="42">
        <f t="shared" si="324"/>
        <v>0</v>
      </c>
    </row>
    <row r="150" spans="1:61" x14ac:dyDescent="0.25">
      <c r="A150" s="477"/>
      <c r="B150" s="9" t="s">
        <v>189</v>
      </c>
      <c r="C150" s="74" t="str">
        <f t="shared" si="279"/>
        <v>4/6</v>
      </c>
      <c r="D150" s="74" t="str">
        <f>IF(IF((COUNTIF(Professional_Skill_Options,'Skill Workbook'!F150)&gt;0),INDEX(Professional_Skill_Choices,MATCH(F150,Professional_Skill_Options,0)),FALSE),"X","")</f>
        <v/>
      </c>
      <c r="E150" s="74" t="str">
        <f>IF(IF((COUNTIF(Professional_Skill_Options,'Skill Workbook'!F150)&gt;0),INDEX(Professional_Skill_Knacks,MATCH(F150,Professional_Skill_Options,0)),FALSE),"X","")</f>
        <v/>
      </c>
      <c r="F150" s="39" t="s">
        <v>191</v>
      </c>
      <c r="G150" s="196"/>
      <c r="H150" s="197"/>
      <c r="I150" s="74" t="s">
        <v>195</v>
      </c>
      <c r="J150" s="74"/>
      <c r="K150" s="74"/>
      <c r="L150" s="74"/>
      <c r="M150" s="74"/>
      <c r="N150" s="74"/>
      <c r="O150" s="74"/>
      <c r="P150" s="74"/>
      <c r="Q150" s="74"/>
      <c r="R150" s="74"/>
      <c r="S150" s="74"/>
      <c r="T150" s="74"/>
      <c r="U150" s="74"/>
      <c r="V150" s="74"/>
      <c r="W150" s="74"/>
      <c r="X150" s="74"/>
      <c r="Y150" s="74"/>
      <c r="Z150" s="74"/>
      <c r="AA150" s="74"/>
      <c r="AB150" s="74"/>
      <c r="AC150" s="74"/>
      <c r="AD150" s="74"/>
      <c r="AE150" s="74">
        <f>SUM(K150:INDEX(K150:AD150,Level))+J150-IF(H150="",0,1)</f>
        <v>0</v>
      </c>
      <c r="AF150" s="110">
        <f t="shared" si="304"/>
        <v>-25</v>
      </c>
      <c r="AG150" s="110" t="e" cm="1">
        <f t="array" aca="1" ref="AG150" ca="1">IF(I150="NA",0,INDIRECT(LEFT(I150,2))+INDIRECT(MID(I150,4,2))+INDIRECT(RIGHT(I150,2)))</f>
        <v>#N/A</v>
      </c>
      <c r="AH150" s="110">
        <f t="shared" si="276"/>
        <v>0</v>
      </c>
      <c r="AI150" s="110">
        <f t="shared" si="277"/>
        <v>0</v>
      </c>
      <c r="AJ150" s="110"/>
      <c r="AK150" s="110" t="e">
        <f t="shared" ca="1" si="280"/>
        <v>#N/A</v>
      </c>
      <c r="AL150" s="125" t="e">
        <f t="shared" ca="1" si="184"/>
        <v>#N/A</v>
      </c>
      <c r="AP150" s="42">
        <f t="shared" si="305"/>
        <v>0</v>
      </c>
      <c r="AQ150" s="42">
        <f t="shared" si="306"/>
        <v>0</v>
      </c>
      <c r="AR150" s="42">
        <f t="shared" si="307"/>
        <v>0</v>
      </c>
      <c r="AS150" s="42">
        <f t="shared" si="308"/>
        <v>0</v>
      </c>
      <c r="AT150" s="42">
        <f t="shared" si="309"/>
        <v>0</v>
      </c>
      <c r="AU150" s="42">
        <f t="shared" si="310"/>
        <v>0</v>
      </c>
      <c r="AV150" s="42">
        <f t="shared" si="311"/>
        <v>0</v>
      </c>
      <c r="AW150" s="42">
        <f t="shared" si="312"/>
        <v>0</v>
      </c>
      <c r="AX150" s="42">
        <f t="shared" si="313"/>
        <v>0</v>
      </c>
      <c r="AY150" s="42">
        <f t="shared" si="314"/>
        <v>0</v>
      </c>
      <c r="AZ150" s="42">
        <f t="shared" si="315"/>
        <v>0</v>
      </c>
      <c r="BA150" s="42">
        <f t="shared" si="316"/>
        <v>0</v>
      </c>
      <c r="BB150" s="42">
        <f t="shared" si="317"/>
        <v>0</v>
      </c>
      <c r="BC150" s="42">
        <f t="shared" si="318"/>
        <v>0</v>
      </c>
      <c r="BD150" s="42">
        <f t="shared" si="319"/>
        <v>0</v>
      </c>
      <c r="BE150" s="42">
        <f t="shared" si="320"/>
        <v>0</v>
      </c>
      <c r="BF150" s="42">
        <f t="shared" si="321"/>
        <v>0</v>
      </c>
      <c r="BG150" s="42">
        <f t="shared" si="322"/>
        <v>0</v>
      </c>
      <c r="BH150" s="42">
        <f t="shared" si="323"/>
        <v>0</v>
      </c>
      <c r="BI150" s="42">
        <f t="shared" si="324"/>
        <v>0</v>
      </c>
    </row>
    <row r="151" spans="1:61" x14ac:dyDescent="0.25">
      <c r="A151" s="477"/>
      <c r="B151" s="21" t="s">
        <v>189</v>
      </c>
      <c r="C151" s="1" t="str">
        <f t="shared" si="279"/>
        <v>4/6</v>
      </c>
      <c r="D151" s="1" t="str">
        <f>IF(IF((COUNTIF(Professional_Skill_Options,'Skill Workbook'!F151)&gt;0),INDEX(Professional_Skill_Choices,MATCH(F151,Professional_Skill_Options,0)),FALSE),"X","")</f>
        <v/>
      </c>
      <c r="E151" s="1" t="str">
        <f>IF(IF((COUNTIF(Professional_Skill_Options,'Skill Workbook'!F151)&gt;0),INDEX(Professional_Skill_Knacks,MATCH(F151,Professional_Skill_Options,0)),FALSE),"X","")</f>
        <v/>
      </c>
      <c r="F151" t="s">
        <v>192</v>
      </c>
      <c r="G151" s="196"/>
      <c r="H151" s="198"/>
      <c r="I151" s="1" t="s">
        <v>196</v>
      </c>
      <c r="J151" s="46"/>
      <c r="AE151" s="1">
        <f>SUM(K151:INDEX(K151:AD151,Level))+J151-IF(H151="",0,1)</f>
        <v>0</v>
      </c>
      <c r="AF151" s="26">
        <f t="shared" si="304"/>
        <v>-25</v>
      </c>
      <c r="AG151" s="26" t="e" cm="1">
        <f t="array" aca="1" ref="AG151" ca="1">IF(I151="NA",0,INDIRECT(LEFT(I151,2))+INDIRECT(MID(I151,4,2))+INDIRECT(RIGHT(I151,2)))</f>
        <v>#N/A</v>
      </c>
      <c r="AH151" s="26">
        <f t="shared" si="276"/>
        <v>0</v>
      </c>
      <c r="AI151" s="26">
        <f t="shared" si="277"/>
        <v>0</v>
      </c>
      <c r="AJ151" s="26"/>
      <c r="AK151" s="26" t="e">
        <f t="shared" ca="1" si="280"/>
        <v>#N/A</v>
      </c>
      <c r="AL151" s="32" t="e">
        <f t="shared" ca="1" si="184"/>
        <v>#N/A</v>
      </c>
      <c r="AP151" s="42">
        <f t="shared" si="305"/>
        <v>0</v>
      </c>
      <c r="AQ151" s="42">
        <f t="shared" si="306"/>
        <v>0</v>
      </c>
      <c r="AR151" s="42">
        <f t="shared" si="307"/>
        <v>0</v>
      </c>
      <c r="AS151" s="42">
        <f t="shared" si="308"/>
        <v>0</v>
      </c>
      <c r="AT151" s="42">
        <f t="shared" si="309"/>
        <v>0</v>
      </c>
      <c r="AU151" s="42">
        <f t="shared" si="310"/>
        <v>0</v>
      </c>
      <c r="AV151" s="42">
        <f t="shared" si="311"/>
        <v>0</v>
      </c>
      <c r="AW151" s="42">
        <f t="shared" si="312"/>
        <v>0</v>
      </c>
      <c r="AX151" s="42">
        <f t="shared" si="313"/>
        <v>0</v>
      </c>
      <c r="AY151" s="42">
        <f t="shared" si="314"/>
        <v>0</v>
      </c>
      <c r="AZ151" s="42">
        <f t="shared" si="315"/>
        <v>0</v>
      </c>
      <c r="BA151" s="42">
        <f t="shared" si="316"/>
        <v>0</v>
      </c>
      <c r="BB151" s="42">
        <f t="shared" si="317"/>
        <v>0</v>
      </c>
      <c r="BC151" s="42">
        <f t="shared" si="318"/>
        <v>0</v>
      </c>
      <c r="BD151" s="42">
        <f t="shared" si="319"/>
        <v>0</v>
      </c>
      <c r="BE151" s="42">
        <f t="shared" si="320"/>
        <v>0</v>
      </c>
      <c r="BF151" s="42">
        <f t="shared" si="321"/>
        <v>0</v>
      </c>
      <c r="BG151" s="42">
        <f t="shared" si="322"/>
        <v>0</v>
      </c>
      <c r="BH151" s="42">
        <f t="shared" si="323"/>
        <v>0</v>
      </c>
      <c r="BI151" s="42">
        <f t="shared" si="324"/>
        <v>0</v>
      </c>
    </row>
    <row r="152" spans="1:61" x14ac:dyDescent="0.25">
      <c r="A152" s="477"/>
      <c r="B152" s="21" t="s">
        <v>197</v>
      </c>
      <c r="C152" s="1" t="str">
        <f t="shared" si="279"/>
        <v>4/6</v>
      </c>
      <c r="D152" s="1" t="str">
        <f>IF(IF((COUNTIF(Professional_Skill_Options,'Skill Workbook'!F152)&gt;0),INDEX(Professional_Skill_Choices,MATCH(F152,Professional_Skill_Options,0)),FALSE),"X","")</f>
        <v/>
      </c>
      <c r="E152" s="1" t="str">
        <f>IF(IF((COUNTIF(Professional_Skill_Options,'Skill Workbook'!F152)&gt;0),INDEX(Professional_Skill_Knacks,MATCH(F152,Professional_Skill_Options,0)),FALSE),"X","")</f>
        <v/>
      </c>
      <c r="F152" t="s">
        <v>198</v>
      </c>
      <c r="G152" s="196"/>
      <c r="H152" s="198"/>
      <c r="I152" s="1" t="s">
        <v>202</v>
      </c>
      <c r="J152" s="46"/>
      <c r="AE152" s="1">
        <f>SUM(K152:INDEX(K152:AD152,Level))+J152-IF(H152="",0,1)</f>
        <v>0</v>
      </c>
      <c r="AF152" s="26">
        <f t="shared" si="304"/>
        <v>-25</v>
      </c>
      <c r="AG152" s="26" t="e" cm="1">
        <f t="array" aca="1" ref="AG152" ca="1">IF(I152="NA",0,INDIRECT(LEFT(I152,2))+INDIRECT(MID(I152,4,2))+INDIRECT(RIGHT(I152,2)))</f>
        <v>#N/A</v>
      </c>
      <c r="AH152" s="26">
        <f t="shared" si="276"/>
        <v>0</v>
      </c>
      <c r="AI152" s="26">
        <f t="shared" si="277"/>
        <v>0</v>
      </c>
      <c r="AJ152" s="26"/>
      <c r="AK152" s="26" t="e">
        <f t="shared" ca="1" si="280"/>
        <v>#N/A</v>
      </c>
      <c r="AL152" s="32" t="e">
        <f t="shared" ca="1" si="184"/>
        <v>#N/A</v>
      </c>
      <c r="AP152" s="42">
        <f t="shared" si="305"/>
        <v>0</v>
      </c>
      <c r="AQ152" s="42">
        <f t="shared" si="306"/>
        <v>0</v>
      </c>
      <c r="AR152" s="42">
        <f t="shared" si="307"/>
        <v>0</v>
      </c>
      <c r="AS152" s="42">
        <f t="shared" si="308"/>
        <v>0</v>
      </c>
      <c r="AT152" s="42">
        <f t="shared" si="309"/>
        <v>0</v>
      </c>
      <c r="AU152" s="42">
        <f t="shared" si="310"/>
        <v>0</v>
      </c>
      <c r="AV152" s="42">
        <f t="shared" si="311"/>
        <v>0</v>
      </c>
      <c r="AW152" s="42">
        <f t="shared" si="312"/>
        <v>0</v>
      </c>
      <c r="AX152" s="42">
        <f t="shared" si="313"/>
        <v>0</v>
      </c>
      <c r="AY152" s="42">
        <f t="shared" si="314"/>
        <v>0</v>
      </c>
      <c r="AZ152" s="42">
        <f t="shared" si="315"/>
        <v>0</v>
      </c>
      <c r="BA152" s="42">
        <f t="shared" si="316"/>
        <v>0</v>
      </c>
      <c r="BB152" s="42">
        <f t="shared" si="317"/>
        <v>0</v>
      </c>
      <c r="BC152" s="42">
        <f t="shared" si="318"/>
        <v>0</v>
      </c>
      <c r="BD152" s="42">
        <f t="shared" si="319"/>
        <v>0</v>
      </c>
      <c r="BE152" s="42">
        <f t="shared" si="320"/>
        <v>0</v>
      </c>
      <c r="BF152" s="42">
        <f t="shared" si="321"/>
        <v>0</v>
      </c>
      <c r="BG152" s="42">
        <f t="shared" si="322"/>
        <v>0</v>
      </c>
      <c r="BH152" s="42">
        <f t="shared" si="323"/>
        <v>0</v>
      </c>
      <c r="BI152" s="42">
        <f t="shared" si="324"/>
        <v>0</v>
      </c>
    </row>
    <row r="153" spans="1:61" x14ac:dyDescent="0.25">
      <c r="A153" s="477"/>
      <c r="B153" s="21" t="s">
        <v>197</v>
      </c>
      <c r="C153" s="1" t="str">
        <f t="shared" si="279"/>
        <v>4/6</v>
      </c>
      <c r="D153" s="1" t="str">
        <f>IF(IF((COUNTIF(Professional_Skill_Options,'Skill Workbook'!F153)&gt;0),INDEX(Professional_Skill_Choices,MATCH(F153,Professional_Skill_Options,0)),FALSE),"X","")</f>
        <v/>
      </c>
      <c r="E153" s="1" t="str">
        <f>IF(IF((COUNTIF(Professional_Skill_Options,'Skill Workbook'!F153)&gt;0),INDEX(Professional_Skill_Knacks,MATCH(F153,Professional_Skill_Options,0)),FALSE),"X","")</f>
        <v/>
      </c>
      <c r="F153" t="s">
        <v>199</v>
      </c>
      <c r="G153" s="196"/>
      <c r="H153" s="198"/>
      <c r="I153" s="1" t="s">
        <v>202</v>
      </c>
      <c r="J153" s="46"/>
      <c r="AE153" s="1">
        <f>SUM(K153:INDEX(K153:AD153,Level))+J153-IF(H153="",0,1)</f>
        <v>0</v>
      </c>
      <c r="AF153" s="26">
        <f t="shared" si="304"/>
        <v>-25</v>
      </c>
      <c r="AG153" s="26" t="e" cm="1">
        <f t="array" aca="1" ref="AG153" ca="1">IF(I153="NA",0,INDIRECT(LEFT(I153,2))+INDIRECT(MID(I153,4,2))+INDIRECT(RIGHT(I153,2)))</f>
        <v>#N/A</v>
      </c>
      <c r="AH153" s="26">
        <f t="shared" si="276"/>
        <v>0</v>
      </c>
      <c r="AI153" s="26">
        <f t="shared" si="277"/>
        <v>0</v>
      </c>
      <c r="AJ153" s="26"/>
      <c r="AK153" s="26" t="e">
        <f t="shared" ca="1" si="280"/>
        <v>#N/A</v>
      </c>
      <c r="AL153" s="32" t="e">
        <f t="shared" ca="1" si="184"/>
        <v>#N/A</v>
      </c>
      <c r="AP153" s="42">
        <f t="shared" si="305"/>
        <v>0</v>
      </c>
      <c r="AQ153" s="42">
        <f t="shared" si="306"/>
        <v>0</v>
      </c>
      <c r="AR153" s="42">
        <f t="shared" si="307"/>
        <v>0</v>
      </c>
      <c r="AS153" s="42">
        <f t="shared" si="308"/>
        <v>0</v>
      </c>
      <c r="AT153" s="42">
        <f t="shared" si="309"/>
        <v>0</v>
      </c>
      <c r="AU153" s="42">
        <f t="shared" si="310"/>
        <v>0</v>
      </c>
      <c r="AV153" s="42">
        <f t="shared" si="311"/>
        <v>0</v>
      </c>
      <c r="AW153" s="42">
        <f t="shared" si="312"/>
        <v>0</v>
      </c>
      <c r="AX153" s="42">
        <f t="shared" si="313"/>
        <v>0</v>
      </c>
      <c r="AY153" s="42">
        <f t="shared" si="314"/>
        <v>0</v>
      </c>
      <c r="AZ153" s="42">
        <f t="shared" si="315"/>
        <v>0</v>
      </c>
      <c r="BA153" s="42">
        <f t="shared" si="316"/>
        <v>0</v>
      </c>
      <c r="BB153" s="42">
        <f t="shared" si="317"/>
        <v>0</v>
      </c>
      <c r="BC153" s="42">
        <f t="shared" si="318"/>
        <v>0</v>
      </c>
      <c r="BD153" s="42">
        <f t="shared" si="319"/>
        <v>0</v>
      </c>
      <c r="BE153" s="42">
        <f t="shared" si="320"/>
        <v>0</v>
      </c>
      <c r="BF153" s="42">
        <f t="shared" si="321"/>
        <v>0</v>
      </c>
      <c r="BG153" s="42">
        <f t="shared" si="322"/>
        <v>0</v>
      </c>
      <c r="BH153" s="42">
        <f t="shared" si="323"/>
        <v>0</v>
      </c>
      <c r="BI153" s="42">
        <f t="shared" si="324"/>
        <v>0</v>
      </c>
    </row>
    <row r="154" spans="1:61" x14ac:dyDescent="0.25">
      <c r="A154" s="477"/>
      <c r="B154" s="21" t="s">
        <v>197</v>
      </c>
      <c r="C154" s="1" t="str">
        <f t="shared" si="279"/>
        <v>4/6</v>
      </c>
      <c r="D154" s="1" t="str">
        <f>IF(IF((COUNTIF(Professional_Skill_Options,'Skill Workbook'!F154)&gt;0),INDEX(Professional_Skill_Choices,MATCH(F154,Professional_Skill_Options,0)),FALSE),"X","")</f>
        <v/>
      </c>
      <c r="E154" s="1" t="str">
        <f>IF(IF((COUNTIF(Professional_Skill_Options,'Skill Workbook'!F154)&gt;0),INDEX(Professional_Skill_Knacks,MATCH(F154,Professional_Skill_Options,0)),FALSE),"X","")</f>
        <v/>
      </c>
      <c r="F154" t="s">
        <v>200</v>
      </c>
      <c r="G154" s="196"/>
      <c r="H154" s="198"/>
      <c r="I154" s="1" t="s">
        <v>202</v>
      </c>
      <c r="J154" s="46"/>
      <c r="AE154" s="1">
        <f>SUM(K154:INDEX(K154:AD154,Level))+J154-IF(H154="",0,1)</f>
        <v>0</v>
      </c>
      <c r="AF154" s="26">
        <f t="shared" si="304"/>
        <v>-25</v>
      </c>
      <c r="AG154" s="26" t="e" cm="1">
        <f t="array" aca="1" ref="AG154" ca="1">IF(I154="NA",0,INDIRECT(LEFT(I154,2))+INDIRECT(MID(I154,4,2))+INDIRECT(RIGHT(I154,2)))</f>
        <v>#N/A</v>
      </c>
      <c r="AH154" s="26">
        <f t="shared" si="276"/>
        <v>0</v>
      </c>
      <c r="AI154" s="26">
        <f t="shared" si="277"/>
        <v>0</v>
      </c>
      <c r="AJ154" s="26"/>
      <c r="AK154" s="26" t="e">
        <f t="shared" ca="1" si="280"/>
        <v>#N/A</v>
      </c>
      <c r="AL154" s="32" t="e">
        <f t="shared" ca="1" si="184"/>
        <v>#N/A</v>
      </c>
      <c r="AP154" s="42">
        <f t="shared" si="305"/>
        <v>0</v>
      </c>
      <c r="AQ154" s="42">
        <f t="shared" si="306"/>
        <v>0</v>
      </c>
      <c r="AR154" s="42">
        <f t="shared" si="307"/>
        <v>0</v>
      </c>
      <c r="AS154" s="42">
        <f t="shared" si="308"/>
        <v>0</v>
      </c>
      <c r="AT154" s="42">
        <f t="shared" si="309"/>
        <v>0</v>
      </c>
      <c r="AU154" s="42">
        <f t="shared" si="310"/>
        <v>0</v>
      </c>
      <c r="AV154" s="42">
        <f t="shared" si="311"/>
        <v>0</v>
      </c>
      <c r="AW154" s="42">
        <f t="shared" si="312"/>
        <v>0</v>
      </c>
      <c r="AX154" s="42">
        <f t="shared" si="313"/>
        <v>0</v>
      </c>
      <c r="AY154" s="42">
        <f t="shared" si="314"/>
        <v>0</v>
      </c>
      <c r="AZ154" s="42">
        <f t="shared" si="315"/>
        <v>0</v>
      </c>
      <c r="BA154" s="42">
        <f t="shared" si="316"/>
        <v>0</v>
      </c>
      <c r="BB154" s="42">
        <f t="shared" si="317"/>
        <v>0</v>
      </c>
      <c r="BC154" s="42">
        <f t="shared" si="318"/>
        <v>0</v>
      </c>
      <c r="BD154" s="42">
        <f t="shared" si="319"/>
        <v>0</v>
      </c>
      <c r="BE154" s="42">
        <f t="shared" si="320"/>
        <v>0</v>
      </c>
      <c r="BF154" s="42">
        <f t="shared" si="321"/>
        <v>0</v>
      </c>
      <c r="BG154" s="42">
        <f t="shared" si="322"/>
        <v>0</v>
      </c>
      <c r="BH154" s="42">
        <f t="shared" si="323"/>
        <v>0</v>
      </c>
      <c r="BI154" s="42">
        <f t="shared" si="324"/>
        <v>0</v>
      </c>
    </row>
    <row r="155" spans="1:61" x14ac:dyDescent="0.25">
      <c r="A155" s="477"/>
      <c r="B155" s="21" t="s">
        <v>197</v>
      </c>
      <c r="C155" s="1" t="str">
        <f t="shared" si="279"/>
        <v>4/6</v>
      </c>
      <c r="D155" s="1" t="str">
        <f>IF(IF((COUNTIF(Professional_Skill_Options,'Skill Workbook'!F155)&gt;0),INDEX(Professional_Skill_Choices,MATCH(F155,Professional_Skill_Options,0)),FALSE),"X","")</f>
        <v/>
      </c>
      <c r="E155" s="1" t="str">
        <f>IF(IF((COUNTIF(Professional_Skill_Options,'Skill Workbook'!F155)&gt;0),INDEX(Professional_Skill_Knacks,MATCH(F155,Professional_Skill_Options,0)),FALSE),"X","")</f>
        <v/>
      </c>
      <c r="F155" t="s">
        <v>201</v>
      </c>
      <c r="G155" s="196"/>
      <c r="H155" s="198"/>
      <c r="I155" s="1" t="s">
        <v>202</v>
      </c>
      <c r="J155" s="46"/>
      <c r="AE155" s="1">
        <f>SUM(K155:INDEX(K155:AD155,Level))+J155-IF(H155="",0,1)</f>
        <v>0</v>
      </c>
      <c r="AF155" s="26">
        <f t="shared" si="304"/>
        <v>-25</v>
      </c>
      <c r="AG155" s="26" t="e" cm="1">
        <f t="array" aca="1" ref="AG155" ca="1">IF(I155="NA",0,INDIRECT(LEFT(I155,2))+INDIRECT(MID(I155,4,2))+INDIRECT(RIGHT(I155,2)))</f>
        <v>#N/A</v>
      </c>
      <c r="AH155" s="26">
        <f t="shared" si="276"/>
        <v>0</v>
      </c>
      <c r="AI155" s="26">
        <f t="shared" si="277"/>
        <v>0</v>
      </c>
      <c r="AJ155" s="26"/>
      <c r="AK155" s="26" t="e">
        <f t="shared" ca="1" si="280"/>
        <v>#N/A</v>
      </c>
      <c r="AL155" s="32" t="e">
        <f t="shared" ca="1" si="184"/>
        <v>#N/A</v>
      </c>
      <c r="AP155" s="42">
        <f t="shared" si="305"/>
        <v>0</v>
      </c>
      <c r="AQ155" s="42">
        <f t="shared" si="306"/>
        <v>0</v>
      </c>
      <c r="AR155" s="42">
        <f t="shared" si="307"/>
        <v>0</v>
      </c>
      <c r="AS155" s="42">
        <f t="shared" si="308"/>
        <v>0</v>
      </c>
      <c r="AT155" s="42">
        <f t="shared" si="309"/>
        <v>0</v>
      </c>
      <c r="AU155" s="42">
        <f t="shared" si="310"/>
        <v>0</v>
      </c>
      <c r="AV155" s="42">
        <f t="shared" si="311"/>
        <v>0</v>
      </c>
      <c r="AW155" s="42">
        <f t="shared" si="312"/>
        <v>0</v>
      </c>
      <c r="AX155" s="42">
        <f t="shared" si="313"/>
        <v>0</v>
      </c>
      <c r="AY155" s="42">
        <f t="shared" si="314"/>
        <v>0</v>
      </c>
      <c r="AZ155" s="42">
        <f t="shared" si="315"/>
        <v>0</v>
      </c>
      <c r="BA155" s="42">
        <f t="shared" si="316"/>
        <v>0</v>
      </c>
      <c r="BB155" s="42">
        <f t="shared" si="317"/>
        <v>0</v>
      </c>
      <c r="BC155" s="42">
        <f t="shared" si="318"/>
        <v>0</v>
      </c>
      <c r="BD155" s="42">
        <f t="shared" si="319"/>
        <v>0</v>
      </c>
      <c r="BE155" s="42">
        <f t="shared" si="320"/>
        <v>0</v>
      </c>
      <c r="BF155" s="42">
        <f t="shared" si="321"/>
        <v>0</v>
      </c>
      <c r="BG155" s="42">
        <f t="shared" si="322"/>
        <v>0</v>
      </c>
      <c r="BH155" s="42">
        <f t="shared" si="323"/>
        <v>0</v>
      </c>
      <c r="BI155" s="42">
        <f t="shared" si="324"/>
        <v>0</v>
      </c>
    </row>
    <row r="156" spans="1:61" x14ac:dyDescent="0.25">
      <c r="A156" s="477"/>
      <c r="B156" s="21" t="s">
        <v>203</v>
      </c>
      <c r="C156" s="1" t="str">
        <f t="shared" si="279"/>
        <v>2/4</v>
      </c>
      <c r="D156" s="1" t="str">
        <f>IF(IF((COUNTIF(Professional_Skill_Options,'Skill Workbook'!F156)&gt;0),INDEX(Professional_Skill_Choices,MATCH(F156,Professional_Skill_Options,0)),FALSE),"X","")</f>
        <v/>
      </c>
      <c r="E156" s="1" t="str">
        <f>IF(IF((COUNTIF(Professional_Skill_Options,'Skill Workbook'!F156)&gt;0),INDEX(Professional_Skill_Knacks,MATCH(F156,Professional_Skill_Options,0)),FALSE),"X","")</f>
        <v/>
      </c>
      <c r="F156" t="s">
        <v>204</v>
      </c>
      <c r="G156" s="194" t="s">
        <v>205</v>
      </c>
      <c r="H156" s="195"/>
      <c r="I156" s="1" t="s">
        <v>125</v>
      </c>
      <c r="J156" s="1">
        <f>'Base Details'!J142</f>
        <v>0</v>
      </c>
      <c r="AE156" s="1">
        <f>SUM(K156:INDEX(K156:AD156,Level))+J156-IF(H156="",0,1)</f>
        <v>0</v>
      </c>
      <c r="AF156" s="26">
        <f t="shared" si="304"/>
        <v>-25</v>
      </c>
      <c r="AG156" s="26" t="e" cm="1">
        <f t="array" aca="1" ref="AG156" ca="1">IF(I156="NA",0,INDIRECT(LEFT(I156,2))+INDIRECT(MID(I156,4,2))+INDIRECT(RIGHT(I156,2)))</f>
        <v>#N/A</v>
      </c>
      <c r="AH156" s="26">
        <f t="shared" si="276"/>
        <v>0</v>
      </c>
      <c r="AI156" s="26">
        <f t="shared" si="277"/>
        <v>0</v>
      </c>
      <c r="AJ156" s="26"/>
      <c r="AK156" s="26" t="e">
        <f t="shared" ca="1" si="280"/>
        <v>#N/A</v>
      </c>
      <c r="AL156" s="32" t="e">
        <f t="shared" ca="1" si="184"/>
        <v>#N/A</v>
      </c>
      <c r="AP156" s="42">
        <f t="shared" si="305"/>
        <v>0</v>
      </c>
      <c r="AQ156" s="42">
        <f t="shared" si="306"/>
        <v>0</v>
      </c>
      <c r="AR156" s="42">
        <f t="shared" si="307"/>
        <v>0</v>
      </c>
      <c r="AS156" s="42">
        <f t="shared" si="308"/>
        <v>0</v>
      </c>
      <c r="AT156" s="42">
        <f t="shared" si="309"/>
        <v>0</v>
      </c>
      <c r="AU156" s="42">
        <f t="shared" si="310"/>
        <v>0</v>
      </c>
      <c r="AV156" s="42">
        <f t="shared" si="311"/>
        <v>0</v>
      </c>
      <c r="AW156" s="42">
        <f t="shared" si="312"/>
        <v>0</v>
      </c>
      <c r="AX156" s="42">
        <f t="shared" si="313"/>
        <v>0</v>
      </c>
      <c r="AY156" s="42">
        <f t="shared" si="314"/>
        <v>0</v>
      </c>
      <c r="AZ156" s="42">
        <f t="shared" si="315"/>
        <v>0</v>
      </c>
      <c r="BA156" s="42">
        <f t="shared" si="316"/>
        <v>0</v>
      </c>
      <c r="BB156" s="42">
        <f t="shared" si="317"/>
        <v>0</v>
      </c>
      <c r="BC156" s="42">
        <f t="shared" si="318"/>
        <v>0</v>
      </c>
      <c r="BD156" s="42">
        <f t="shared" si="319"/>
        <v>0</v>
      </c>
      <c r="BE156" s="42">
        <f t="shared" si="320"/>
        <v>0</v>
      </c>
      <c r="BF156" s="42">
        <f t="shared" si="321"/>
        <v>0</v>
      </c>
      <c r="BG156" s="42">
        <f t="shared" si="322"/>
        <v>0</v>
      </c>
      <c r="BH156" s="42">
        <f t="shared" si="323"/>
        <v>0</v>
      </c>
      <c r="BI156" s="42">
        <f t="shared" si="324"/>
        <v>0</v>
      </c>
    </row>
    <row r="157" spans="1:61" x14ac:dyDescent="0.25">
      <c r="A157" s="477"/>
      <c r="B157" s="21" t="s">
        <v>203</v>
      </c>
      <c r="C157" s="1" t="str">
        <f t="shared" ref="C157:C176" si="348">HLOOKUP(B157,Table_Profession_Skills,VLOOKUP(Profession,Table_Profession,2,FALSE)+1,FALSE)</f>
        <v>2/4</v>
      </c>
      <c r="D157" s="1" t="str">
        <f>IF(IF((COUNTIF(Professional_Skill_Options,'Skill Workbook'!F157)&gt;0),INDEX(Professional_Skill_Choices,MATCH(F157,Professional_Skill_Options,0)),FALSE),"X","")</f>
        <v/>
      </c>
      <c r="E157" s="1" t="str">
        <f>IF(IF((COUNTIF(Professional_Skill_Options,'Skill Workbook'!F157)&gt;0),INDEX(Professional_Skill_Knacks,MATCH(F157,Professional_Skill_Options,0)),FALSE),"X","")</f>
        <v/>
      </c>
      <c r="F157" t="s">
        <v>204</v>
      </c>
      <c r="G157" s="194" t="s">
        <v>209</v>
      </c>
      <c r="H157" s="195"/>
      <c r="I157" s="1" t="s">
        <v>125</v>
      </c>
      <c r="J157" s="1">
        <f>'Base Details'!J143</f>
        <v>0</v>
      </c>
      <c r="AE157" s="1">
        <f>SUM(K157:INDEX(K157:AD157,Level))+J157-IF(H157="",0,1)</f>
        <v>0</v>
      </c>
      <c r="AF157" s="26">
        <f t="shared" si="304"/>
        <v>-25</v>
      </c>
      <c r="AG157" s="26" t="e" cm="1">
        <f t="array" aca="1" ref="AG157" ca="1">IF(I157="NA",0,INDIRECT(LEFT(I157,2))+INDIRECT(MID(I157,4,2))+INDIRECT(RIGHT(I157,2)))</f>
        <v>#N/A</v>
      </c>
      <c r="AH157" s="26">
        <f t="shared" si="276"/>
        <v>0</v>
      </c>
      <c r="AI157" s="26">
        <f t="shared" si="277"/>
        <v>0</v>
      </c>
      <c r="AJ157" s="26"/>
      <c r="AK157" s="26" t="e">
        <f t="shared" ca="1" si="280"/>
        <v>#N/A</v>
      </c>
      <c r="AL157" s="32" t="e">
        <f t="shared" ca="1" si="184"/>
        <v>#N/A</v>
      </c>
      <c r="AP157" s="42">
        <f t="shared" si="305"/>
        <v>0</v>
      </c>
      <c r="AQ157" s="42">
        <f t="shared" si="306"/>
        <v>0</v>
      </c>
      <c r="AR157" s="42">
        <f t="shared" si="307"/>
        <v>0</v>
      </c>
      <c r="AS157" s="42">
        <f t="shared" si="308"/>
        <v>0</v>
      </c>
      <c r="AT157" s="42">
        <f t="shared" si="309"/>
        <v>0</v>
      </c>
      <c r="AU157" s="42">
        <f t="shared" si="310"/>
        <v>0</v>
      </c>
      <c r="AV157" s="42">
        <f t="shared" si="311"/>
        <v>0</v>
      </c>
      <c r="AW157" s="42">
        <f t="shared" si="312"/>
        <v>0</v>
      </c>
      <c r="AX157" s="42">
        <f t="shared" si="313"/>
        <v>0</v>
      </c>
      <c r="AY157" s="42">
        <f t="shared" si="314"/>
        <v>0</v>
      </c>
      <c r="AZ157" s="42">
        <f t="shared" si="315"/>
        <v>0</v>
      </c>
      <c r="BA157" s="42">
        <f t="shared" si="316"/>
        <v>0</v>
      </c>
      <c r="BB157" s="42">
        <f t="shared" si="317"/>
        <v>0</v>
      </c>
      <c r="BC157" s="42">
        <f t="shared" si="318"/>
        <v>0</v>
      </c>
      <c r="BD157" s="42">
        <f t="shared" si="319"/>
        <v>0</v>
      </c>
      <c r="BE157" s="42">
        <f t="shared" si="320"/>
        <v>0</v>
      </c>
      <c r="BF157" s="42">
        <f t="shared" si="321"/>
        <v>0</v>
      </c>
      <c r="BG157" s="42">
        <f t="shared" si="322"/>
        <v>0</v>
      </c>
      <c r="BH157" s="42">
        <f t="shared" si="323"/>
        <v>0</v>
      </c>
      <c r="BI157" s="42">
        <f t="shared" si="324"/>
        <v>0</v>
      </c>
    </row>
    <row r="158" spans="1:61" x14ac:dyDescent="0.25">
      <c r="A158" s="477"/>
      <c r="B158" s="21" t="s">
        <v>203</v>
      </c>
      <c r="C158" s="1" t="str">
        <f t="shared" si="348"/>
        <v>2/4</v>
      </c>
      <c r="D158" s="1" t="str">
        <f>IF(IF((COUNTIF(Professional_Skill_Options,'Skill Workbook'!F158)&gt;0),INDEX(Professional_Skill_Choices,MATCH(F158,Professional_Skill_Options,0)),FALSE),"X","")</f>
        <v/>
      </c>
      <c r="E158" s="1" t="str">
        <f>IF(IF((COUNTIF(Professional_Skill_Options,'Skill Workbook'!F158)&gt;0),INDEX(Professional_Skill_Knacks,MATCH(F158,Professional_Skill_Options,0)),FALSE),"X","")</f>
        <v/>
      </c>
      <c r="F158" t="s">
        <v>204</v>
      </c>
      <c r="G158" s="194" t="s">
        <v>210</v>
      </c>
      <c r="H158" s="195"/>
      <c r="I158" s="1" t="s">
        <v>125</v>
      </c>
      <c r="J158" s="1">
        <f>'Base Details'!J144</f>
        <v>0</v>
      </c>
      <c r="AE158" s="1">
        <f>SUM(K158:INDEX(K158:AD158,Level))+J158-IF(H158="",0,1)</f>
        <v>0</v>
      </c>
      <c r="AF158" s="26">
        <f t="shared" si="304"/>
        <v>-25</v>
      </c>
      <c r="AG158" s="26" t="e" cm="1">
        <f t="array" aca="1" ref="AG158" ca="1">IF(I158="NA",0,INDIRECT(LEFT(I158,2))+INDIRECT(MID(I158,4,2))+INDIRECT(RIGHT(I158,2)))</f>
        <v>#N/A</v>
      </c>
      <c r="AH158" s="26">
        <f t="shared" si="276"/>
        <v>0</v>
      </c>
      <c r="AI158" s="26">
        <f t="shared" si="277"/>
        <v>0</v>
      </c>
      <c r="AJ158" s="26"/>
      <c r="AK158" s="26" t="e">
        <f t="shared" ca="1" si="280"/>
        <v>#N/A</v>
      </c>
      <c r="AL158" s="32" t="e">
        <f t="shared" ca="1" si="184"/>
        <v>#N/A</v>
      </c>
      <c r="AP158" s="42">
        <f t="shared" si="305"/>
        <v>0</v>
      </c>
      <c r="AQ158" s="42">
        <f t="shared" si="306"/>
        <v>0</v>
      </c>
      <c r="AR158" s="42">
        <f t="shared" si="307"/>
        <v>0</v>
      </c>
      <c r="AS158" s="42">
        <f t="shared" si="308"/>
        <v>0</v>
      </c>
      <c r="AT158" s="42">
        <f t="shared" si="309"/>
        <v>0</v>
      </c>
      <c r="AU158" s="42">
        <f t="shared" si="310"/>
        <v>0</v>
      </c>
      <c r="AV158" s="42">
        <f t="shared" si="311"/>
        <v>0</v>
      </c>
      <c r="AW158" s="42">
        <f t="shared" si="312"/>
        <v>0</v>
      </c>
      <c r="AX158" s="42">
        <f t="shared" si="313"/>
        <v>0</v>
      </c>
      <c r="AY158" s="42">
        <f t="shared" si="314"/>
        <v>0</v>
      </c>
      <c r="AZ158" s="42">
        <f t="shared" si="315"/>
        <v>0</v>
      </c>
      <c r="BA158" s="42">
        <f t="shared" si="316"/>
        <v>0</v>
      </c>
      <c r="BB158" s="42">
        <f t="shared" si="317"/>
        <v>0</v>
      </c>
      <c r="BC158" s="42">
        <f t="shared" si="318"/>
        <v>0</v>
      </c>
      <c r="BD158" s="42">
        <f t="shared" si="319"/>
        <v>0</v>
      </c>
      <c r="BE158" s="42">
        <f t="shared" si="320"/>
        <v>0</v>
      </c>
      <c r="BF158" s="42">
        <f t="shared" si="321"/>
        <v>0</v>
      </c>
      <c r="BG158" s="42">
        <f t="shared" si="322"/>
        <v>0</v>
      </c>
      <c r="BH158" s="42">
        <f t="shared" si="323"/>
        <v>0</v>
      </c>
      <c r="BI158" s="42">
        <f t="shared" si="324"/>
        <v>0</v>
      </c>
    </row>
    <row r="159" spans="1:61" x14ac:dyDescent="0.25">
      <c r="A159" s="477"/>
      <c r="B159" s="21" t="s">
        <v>203</v>
      </c>
      <c r="C159" s="1" t="str">
        <f t="shared" si="348"/>
        <v>2/4</v>
      </c>
      <c r="D159" s="1" t="str">
        <f>IF(IF((COUNTIF(Professional_Skill_Options,'Skill Workbook'!F159)&gt;0),INDEX(Professional_Skill_Choices,MATCH(F159,Professional_Skill_Options,0)),FALSE),"X","")</f>
        <v/>
      </c>
      <c r="E159" s="1" t="str">
        <f>IF(IF((COUNTIF(Professional_Skill_Options,'Skill Workbook'!F159)&gt;0),INDEX(Professional_Skill_Knacks,MATCH(F159,Professional_Skill_Options,0)),FALSE),"X","")</f>
        <v/>
      </c>
      <c r="F159" t="s">
        <v>206</v>
      </c>
      <c r="G159" s="196"/>
      <c r="H159" s="198"/>
      <c r="I159" s="1" t="s">
        <v>125</v>
      </c>
      <c r="J159" s="46"/>
      <c r="AE159" s="1">
        <f>SUM(K159:INDEX(K159:AD159,Level))+J159-IF(H159="",0,1)</f>
        <v>0</v>
      </c>
      <c r="AF159" s="26">
        <f t="shared" si="304"/>
        <v>-25</v>
      </c>
      <c r="AG159" s="26" t="e" cm="1">
        <f t="array" aca="1" ref="AG159" ca="1">IF(I159="NA",0,INDIRECT(LEFT(I159,2))+INDIRECT(MID(I159,4,2))+INDIRECT(RIGHT(I159,2)))</f>
        <v>#N/A</v>
      </c>
      <c r="AH159" s="26">
        <f t="shared" si="276"/>
        <v>0</v>
      </c>
      <c r="AI159" s="26">
        <f t="shared" si="277"/>
        <v>0</v>
      </c>
      <c r="AJ159" s="26"/>
      <c r="AK159" s="26" t="e">
        <f t="shared" ca="1" si="280"/>
        <v>#N/A</v>
      </c>
      <c r="AL159" s="32" t="e">
        <f t="shared" ca="1" si="184"/>
        <v>#N/A</v>
      </c>
      <c r="AP159" s="42">
        <f t="shared" si="305"/>
        <v>0</v>
      </c>
      <c r="AQ159" s="42">
        <f t="shared" si="306"/>
        <v>0</v>
      </c>
      <c r="AR159" s="42">
        <f t="shared" si="307"/>
        <v>0</v>
      </c>
      <c r="AS159" s="42">
        <f t="shared" si="308"/>
        <v>0</v>
      </c>
      <c r="AT159" s="42">
        <f t="shared" si="309"/>
        <v>0</v>
      </c>
      <c r="AU159" s="42">
        <f t="shared" si="310"/>
        <v>0</v>
      </c>
      <c r="AV159" s="42">
        <f t="shared" si="311"/>
        <v>0</v>
      </c>
      <c r="AW159" s="42">
        <f t="shared" si="312"/>
        <v>0</v>
      </c>
      <c r="AX159" s="42">
        <f t="shared" si="313"/>
        <v>0</v>
      </c>
      <c r="AY159" s="42">
        <f t="shared" si="314"/>
        <v>0</v>
      </c>
      <c r="AZ159" s="42">
        <f t="shared" si="315"/>
        <v>0</v>
      </c>
      <c r="BA159" s="42">
        <f t="shared" si="316"/>
        <v>0</v>
      </c>
      <c r="BB159" s="42">
        <f t="shared" si="317"/>
        <v>0</v>
      </c>
      <c r="BC159" s="42">
        <f t="shared" si="318"/>
        <v>0</v>
      </c>
      <c r="BD159" s="42">
        <f t="shared" si="319"/>
        <v>0</v>
      </c>
      <c r="BE159" s="42">
        <f t="shared" si="320"/>
        <v>0</v>
      </c>
      <c r="BF159" s="42">
        <f t="shared" si="321"/>
        <v>0</v>
      </c>
      <c r="BG159" s="42">
        <f t="shared" si="322"/>
        <v>0</v>
      </c>
      <c r="BH159" s="42">
        <f t="shared" si="323"/>
        <v>0</v>
      </c>
      <c r="BI159" s="42">
        <f t="shared" si="324"/>
        <v>0</v>
      </c>
    </row>
    <row r="160" spans="1:61" x14ac:dyDescent="0.25">
      <c r="A160" s="477"/>
      <c r="B160" s="21" t="s">
        <v>203</v>
      </c>
      <c r="C160" s="1" t="str">
        <f t="shared" si="348"/>
        <v>2/4</v>
      </c>
      <c r="D160" s="1" t="str">
        <f>IF(IF((COUNTIF(Professional_Skill_Options,'Skill Workbook'!F160)&gt;0),INDEX(Professional_Skill_Choices,MATCH(F160,Professional_Skill_Options,0)),FALSE),"X","")</f>
        <v/>
      </c>
      <c r="E160" s="1" t="str">
        <f>IF(IF((COUNTIF(Professional_Skill_Options,'Skill Workbook'!F160)&gt;0),INDEX(Professional_Skill_Knacks,MATCH(F160,Professional_Skill_Options,0)),FALSE),"X","")</f>
        <v/>
      </c>
      <c r="F160" t="s">
        <v>207</v>
      </c>
      <c r="G160" s="196"/>
      <c r="H160" s="198"/>
      <c r="I160" s="1" t="s">
        <v>211</v>
      </c>
      <c r="J160" s="1">
        <f>'Base Details'!V123</f>
        <v>0</v>
      </c>
      <c r="AE160" s="1">
        <f>SUM(K160:INDEX(K160:AD160,Level))+J160-IF(H160="",0,1)</f>
        <v>0</v>
      </c>
      <c r="AF160" s="26">
        <f t="shared" si="304"/>
        <v>-25</v>
      </c>
      <c r="AG160" s="26" t="e" cm="1">
        <f t="array" aca="1" ref="AG160" ca="1">IF(I160="NA",0,INDIRECT(LEFT(I160,2))+INDIRECT(MID(I160,4,2))+INDIRECT(RIGHT(I160,2)))</f>
        <v>#N/A</v>
      </c>
      <c r="AH160" s="26">
        <f t="shared" si="276"/>
        <v>0</v>
      </c>
      <c r="AI160" s="26">
        <f t="shared" si="277"/>
        <v>0</v>
      </c>
      <c r="AJ160" s="26"/>
      <c r="AK160" s="26" t="e">
        <f t="shared" ca="1" si="280"/>
        <v>#N/A</v>
      </c>
      <c r="AL160" s="32" t="e">
        <f t="shared" ca="1" si="184"/>
        <v>#N/A</v>
      </c>
      <c r="AP160" s="42">
        <f t="shared" si="305"/>
        <v>0</v>
      </c>
      <c r="AQ160" s="42">
        <f t="shared" si="306"/>
        <v>0</v>
      </c>
      <c r="AR160" s="42">
        <f t="shared" si="307"/>
        <v>0</v>
      </c>
      <c r="AS160" s="42">
        <f t="shared" si="308"/>
        <v>0</v>
      </c>
      <c r="AT160" s="42">
        <f t="shared" si="309"/>
        <v>0</v>
      </c>
      <c r="AU160" s="42">
        <f t="shared" si="310"/>
        <v>0</v>
      </c>
      <c r="AV160" s="42">
        <f t="shared" si="311"/>
        <v>0</v>
      </c>
      <c r="AW160" s="42">
        <f t="shared" si="312"/>
        <v>0</v>
      </c>
      <c r="AX160" s="42">
        <f t="shared" si="313"/>
        <v>0</v>
      </c>
      <c r="AY160" s="42">
        <f t="shared" si="314"/>
        <v>0</v>
      </c>
      <c r="AZ160" s="42">
        <f t="shared" si="315"/>
        <v>0</v>
      </c>
      <c r="BA160" s="42">
        <f t="shared" si="316"/>
        <v>0</v>
      </c>
      <c r="BB160" s="42">
        <f t="shared" si="317"/>
        <v>0</v>
      </c>
      <c r="BC160" s="42">
        <f t="shared" si="318"/>
        <v>0</v>
      </c>
      <c r="BD160" s="42">
        <f t="shared" si="319"/>
        <v>0</v>
      </c>
      <c r="BE160" s="42">
        <f t="shared" si="320"/>
        <v>0</v>
      </c>
      <c r="BF160" s="42">
        <f t="shared" si="321"/>
        <v>0</v>
      </c>
      <c r="BG160" s="42">
        <f t="shared" si="322"/>
        <v>0</v>
      </c>
      <c r="BH160" s="42">
        <f t="shared" si="323"/>
        <v>0</v>
      </c>
      <c r="BI160" s="42">
        <f t="shared" si="324"/>
        <v>0</v>
      </c>
    </row>
    <row r="161" spans="1:61" x14ac:dyDescent="0.25">
      <c r="A161" s="477"/>
      <c r="B161" s="21" t="s">
        <v>203</v>
      </c>
      <c r="C161" s="1" t="str">
        <f t="shared" si="348"/>
        <v>2/4</v>
      </c>
      <c r="D161" s="1" t="str">
        <f>IF(IF((COUNTIF(Professional_Skill_Options,'Skill Workbook'!F161)&gt;0),INDEX(Professional_Skill_Choices,MATCH(F161,Professional_Skill_Options,0)),FALSE),"X","")</f>
        <v/>
      </c>
      <c r="E161" s="1" t="str">
        <f>IF(IF((COUNTIF(Professional_Skill_Options,'Skill Workbook'!F161)&gt;0),INDEX(Professional_Skill_Knacks,MATCH(F161,Professional_Skill_Options,0)),FALSE),"X","")</f>
        <v/>
      </c>
      <c r="F161" t="s">
        <v>208</v>
      </c>
      <c r="G161" s="196"/>
      <c r="H161" s="198"/>
      <c r="I161" s="1" t="s">
        <v>125</v>
      </c>
      <c r="J161" s="1">
        <f>'Base Details'!V124</f>
        <v>0</v>
      </c>
      <c r="AE161" s="1">
        <f>SUM(K161:INDEX(K161:AD161,Level))+J161-IF(H161="",0,1)</f>
        <v>0</v>
      </c>
      <c r="AF161" s="26">
        <f t="shared" si="304"/>
        <v>-25</v>
      </c>
      <c r="AG161" s="26" t="e" cm="1">
        <f t="array" aca="1" ref="AG161" ca="1">IF(I161="NA",0,INDIRECT(LEFT(I161,2))+INDIRECT(MID(I161,4,2))+INDIRECT(RIGHT(I161,2)))</f>
        <v>#N/A</v>
      </c>
      <c r="AH161" s="26">
        <f t="shared" si="276"/>
        <v>0</v>
      </c>
      <c r="AI161" s="26">
        <f t="shared" si="277"/>
        <v>0</v>
      </c>
      <c r="AJ161" s="26"/>
      <c r="AK161" s="26" t="e">
        <f t="shared" ca="1" si="280"/>
        <v>#N/A</v>
      </c>
      <c r="AL161" s="32" t="e">
        <f t="shared" ca="1" si="184"/>
        <v>#N/A</v>
      </c>
      <c r="AP161" s="42">
        <f t="shared" si="305"/>
        <v>0</v>
      </c>
      <c r="AQ161" s="42">
        <f t="shared" si="306"/>
        <v>0</v>
      </c>
      <c r="AR161" s="42">
        <f t="shared" si="307"/>
        <v>0</v>
      </c>
      <c r="AS161" s="42">
        <f t="shared" si="308"/>
        <v>0</v>
      </c>
      <c r="AT161" s="42">
        <f t="shared" si="309"/>
        <v>0</v>
      </c>
      <c r="AU161" s="42">
        <f t="shared" si="310"/>
        <v>0</v>
      </c>
      <c r="AV161" s="42">
        <f t="shared" si="311"/>
        <v>0</v>
      </c>
      <c r="AW161" s="42">
        <f t="shared" si="312"/>
        <v>0</v>
      </c>
      <c r="AX161" s="42">
        <f t="shared" si="313"/>
        <v>0</v>
      </c>
      <c r="AY161" s="42">
        <f t="shared" si="314"/>
        <v>0</v>
      </c>
      <c r="AZ161" s="42">
        <f t="shared" si="315"/>
        <v>0</v>
      </c>
      <c r="BA161" s="42">
        <f t="shared" si="316"/>
        <v>0</v>
      </c>
      <c r="BB161" s="42">
        <f t="shared" si="317"/>
        <v>0</v>
      </c>
      <c r="BC161" s="42">
        <f t="shared" si="318"/>
        <v>0</v>
      </c>
      <c r="BD161" s="42">
        <f t="shared" si="319"/>
        <v>0</v>
      </c>
      <c r="BE161" s="42">
        <f t="shared" si="320"/>
        <v>0</v>
      </c>
      <c r="BF161" s="42">
        <f t="shared" si="321"/>
        <v>0</v>
      </c>
      <c r="BG161" s="42">
        <f t="shared" si="322"/>
        <v>0</v>
      </c>
      <c r="BH161" s="42">
        <f t="shared" si="323"/>
        <v>0</v>
      </c>
      <c r="BI161" s="42">
        <f t="shared" si="324"/>
        <v>0</v>
      </c>
    </row>
    <row r="162" spans="1:61" x14ac:dyDescent="0.25">
      <c r="A162" s="477"/>
      <c r="B162" s="21" t="s">
        <v>212</v>
      </c>
      <c r="C162" s="1" t="str">
        <f t="shared" si="348"/>
        <v>3/5</v>
      </c>
      <c r="D162" s="1" t="str">
        <f>IF(IF((COUNTIF(Professional_Skill_Options,'Skill Workbook'!F162)&gt;0),INDEX(Professional_Skill_Choices,MATCH(F162,Professional_Skill_Options,0)),FALSE),"X","")</f>
        <v/>
      </c>
      <c r="E162" s="1" t="str">
        <f>IF(IF((COUNTIF(Professional_Skill_Options,'Skill Workbook'!F162)&gt;0),INDEX(Professional_Skill_Knacks,MATCH(F162,Professional_Skill_Options,0)),FALSE),"X","")</f>
        <v/>
      </c>
      <c r="F162" t="s">
        <v>213</v>
      </c>
      <c r="G162" s="194" t="s">
        <v>116</v>
      </c>
      <c r="H162" s="195"/>
      <c r="I162" s="1" t="s">
        <v>217</v>
      </c>
      <c r="J162" s="46"/>
      <c r="AE162" s="1">
        <f>SUM(K162:INDEX(K162:AD162,Level))+J162-IF(H162="",0,1)</f>
        <v>0</v>
      </c>
      <c r="AF162" s="26">
        <f t="shared" si="304"/>
        <v>-25</v>
      </c>
      <c r="AG162" s="26" t="e" cm="1">
        <f t="array" aca="1" ref="AG162" ca="1">IF(I162="NA",0,INDIRECT(LEFT(I162,2))+INDIRECT(MID(I162,4,2))+INDIRECT(RIGHT(I162,2)))</f>
        <v>#N/A</v>
      </c>
      <c r="AH162" s="26">
        <f t="shared" si="276"/>
        <v>0</v>
      </c>
      <c r="AI162" s="26">
        <f t="shared" si="277"/>
        <v>0</v>
      </c>
      <c r="AJ162" s="26"/>
      <c r="AK162" s="26" t="e">
        <f t="shared" ca="1" si="280"/>
        <v>#N/A</v>
      </c>
      <c r="AL162" s="32" t="e">
        <f t="shared" ca="1" si="184"/>
        <v>#N/A</v>
      </c>
      <c r="AP162" s="42">
        <f t="shared" si="305"/>
        <v>0</v>
      </c>
      <c r="AQ162" s="42">
        <f t="shared" si="306"/>
        <v>0</v>
      </c>
      <c r="AR162" s="42">
        <f t="shared" si="307"/>
        <v>0</v>
      </c>
      <c r="AS162" s="42">
        <f t="shared" si="308"/>
        <v>0</v>
      </c>
      <c r="AT162" s="42">
        <f t="shared" si="309"/>
        <v>0</v>
      </c>
      <c r="AU162" s="42">
        <f t="shared" si="310"/>
        <v>0</v>
      </c>
      <c r="AV162" s="42">
        <f t="shared" si="311"/>
        <v>0</v>
      </c>
      <c r="AW162" s="42">
        <f t="shared" si="312"/>
        <v>0</v>
      </c>
      <c r="AX162" s="42">
        <f t="shared" si="313"/>
        <v>0</v>
      </c>
      <c r="AY162" s="42">
        <f t="shared" si="314"/>
        <v>0</v>
      </c>
      <c r="AZ162" s="42">
        <f t="shared" si="315"/>
        <v>0</v>
      </c>
      <c r="BA162" s="42">
        <f t="shared" si="316"/>
        <v>0</v>
      </c>
      <c r="BB162" s="42">
        <f t="shared" si="317"/>
        <v>0</v>
      </c>
      <c r="BC162" s="42">
        <f t="shared" si="318"/>
        <v>0</v>
      </c>
      <c r="BD162" s="42">
        <f t="shared" si="319"/>
        <v>0</v>
      </c>
      <c r="BE162" s="42">
        <f t="shared" si="320"/>
        <v>0</v>
      </c>
      <c r="BF162" s="42">
        <f t="shared" si="321"/>
        <v>0</v>
      </c>
      <c r="BG162" s="42">
        <f t="shared" si="322"/>
        <v>0</v>
      </c>
      <c r="BH162" s="42">
        <f t="shared" si="323"/>
        <v>0</v>
      </c>
      <c r="BI162" s="42">
        <f t="shared" si="324"/>
        <v>0</v>
      </c>
    </row>
    <row r="163" spans="1:61" x14ac:dyDescent="0.25">
      <c r="A163" s="477"/>
      <c r="B163" s="21" t="s">
        <v>212</v>
      </c>
      <c r="C163" s="1" t="str">
        <f t="shared" si="348"/>
        <v>3/5</v>
      </c>
      <c r="D163" s="1" t="str">
        <f>IF(IF((COUNTIF(Professional_Skill_Options,'Skill Workbook'!F163)&gt;0),INDEX(Professional_Skill_Choices,MATCH(F163,Professional_Skill_Options,0)),FALSE),"X","")</f>
        <v/>
      </c>
      <c r="E163" s="1" t="str">
        <f>IF(IF((COUNTIF(Professional_Skill_Options,'Skill Workbook'!F163)&gt;0),INDEX(Professional_Skill_Knacks,MATCH(F163,Professional_Skill_Options,0)),FALSE),"X","")</f>
        <v/>
      </c>
      <c r="F163" t="s">
        <v>213</v>
      </c>
      <c r="G163" s="194" t="s">
        <v>118</v>
      </c>
      <c r="H163" s="195"/>
      <c r="I163" s="1" t="s">
        <v>217</v>
      </c>
      <c r="J163" s="46"/>
      <c r="AE163" s="1">
        <f>SUM(K163:INDEX(K163:AD163,Level))+J163-IF(H163="",0,1)</f>
        <v>0</v>
      </c>
      <c r="AF163" s="26">
        <f t="shared" ref="AF163:AF165" si="349">IF(AE163&gt;30,100+AE163,VLOOKUP(AE163,Rank_Bonus,2,FALSE))</f>
        <v>-25</v>
      </c>
      <c r="AG163" s="26" t="e" cm="1">
        <f t="array" aca="1" ref="AG163" ca="1">IF(I163="NA",0,INDIRECT(LEFT(I163,2))+INDIRECT(MID(I163,4,2))+INDIRECT(RIGHT(I163,2)))</f>
        <v>#N/A</v>
      </c>
      <c r="AH163" s="26">
        <f t="shared" ref="AH163:AH165" si="350">IF(D163="X",MIN(30,AE163),0)</f>
        <v>0</v>
      </c>
      <c r="AI163" s="26">
        <f t="shared" ref="AI163:AI165" si="351">IF(E163="X",5,0)</f>
        <v>0</v>
      </c>
      <c r="AJ163" s="26"/>
      <c r="AK163" s="26" t="e">
        <f t="shared" ca="1" si="280"/>
        <v>#N/A</v>
      </c>
      <c r="AL163" s="32" t="e">
        <f t="shared" ref="AL163:AL176" ca="1" si="352">ROUND(SUM(AF163:AJ163),0)</f>
        <v>#N/A</v>
      </c>
      <c r="AP163" s="42">
        <f t="shared" ref="AP163:AP165" si="353">_xlfn.NUMBERVALUE(IF(K163=0,0,IF(K163=1,LEFT($C163,FIND("/",$C163)-1),SUM(LEFT($C163,FIND("/",$C163)-1),RIGHT($C163,LEN($C163)-FIND("/",$C163))))))</f>
        <v>0</v>
      </c>
      <c r="AQ163" s="42">
        <f t="shared" ref="AQ163:AQ165" si="354">_xlfn.NUMBERVALUE(IF(L163=0,0,IF(L163=1,LEFT($C163,FIND("/",$C163)-1),SUM(LEFT($C163,FIND("/",$C163)-1),RIGHT($C163,LEN($C163)-FIND("/",$C163))))))</f>
        <v>0</v>
      </c>
      <c r="AR163" s="42">
        <f t="shared" ref="AR163:AR165" si="355">_xlfn.NUMBERVALUE(IF(M163=0,0,IF(M163=1,LEFT($C163,FIND("/",$C163)-1),SUM(LEFT($C163,FIND("/",$C163)-1),RIGHT($C163,LEN($C163)-FIND("/",$C163))))))</f>
        <v>0</v>
      </c>
      <c r="AS163" s="42">
        <f t="shared" ref="AS163:AS165" si="356">_xlfn.NUMBERVALUE(IF(N163=0,0,IF(N163=1,LEFT($C163,FIND("/",$C163)-1),SUM(LEFT($C163,FIND("/",$C163)-1),RIGHT($C163,LEN($C163)-FIND("/",$C163))))))</f>
        <v>0</v>
      </c>
      <c r="AT163" s="42">
        <f t="shared" ref="AT163:AT165" si="357">_xlfn.NUMBERVALUE(IF(O163=0,0,IF(O163=1,LEFT($C163,FIND("/",$C163)-1),SUM(LEFT($C163,FIND("/",$C163)-1),RIGHT($C163,LEN($C163)-FIND("/",$C163))))))</f>
        <v>0</v>
      </c>
      <c r="AU163" s="42">
        <f t="shared" ref="AU163:AU165" si="358">_xlfn.NUMBERVALUE(IF(P163=0,0,IF(P163=1,LEFT($C163,FIND("/",$C163)-1),SUM(LEFT($C163,FIND("/",$C163)-1),RIGHT($C163,LEN($C163)-FIND("/",$C163))))))</f>
        <v>0</v>
      </c>
      <c r="AV163" s="42">
        <f t="shared" ref="AV163:AV165" si="359">_xlfn.NUMBERVALUE(IF(Q163=0,0,IF(Q163=1,LEFT($C163,FIND("/",$C163)-1),SUM(LEFT($C163,FIND("/",$C163)-1),RIGHT($C163,LEN($C163)-FIND("/",$C163))))))</f>
        <v>0</v>
      </c>
      <c r="AW163" s="42">
        <f t="shared" ref="AW163:AW165" si="360">_xlfn.NUMBERVALUE(IF(R163=0,0,IF(R163=1,LEFT($C163,FIND("/",$C163)-1),SUM(LEFT($C163,FIND("/",$C163)-1),RIGHT($C163,LEN($C163)-FIND("/",$C163))))))</f>
        <v>0</v>
      </c>
      <c r="AX163" s="42">
        <f t="shared" ref="AX163:AX165" si="361">_xlfn.NUMBERVALUE(IF(S163=0,0,IF(S163=1,LEFT($C163,FIND("/",$C163)-1),SUM(LEFT($C163,FIND("/",$C163)-1),RIGHT($C163,LEN($C163)-FIND("/",$C163))))))</f>
        <v>0</v>
      </c>
      <c r="AY163" s="42">
        <f t="shared" ref="AY163:AY165" si="362">_xlfn.NUMBERVALUE(IF(T163=0,0,IF(T163=1,LEFT($C163,FIND("/",$C163)-1),SUM(LEFT($C163,FIND("/",$C163)-1),RIGHT($C163,LEN($C163)-FIND("/",$C163))))))</f>
        <v>0</v>
      </c>
      <c r="AZ163" s="42">
        <f t="shared" ref="AZ163:AZ165" si="363">_xlfn.NUMBERVALUE(IF(U163=0,0,IF(U163=1,LEFT($C163,FIND("/",$C163)-1),SUM(LEFT($C163,FIND("/",$C163)-1),RIGHT($C163,LEN($C163)-FIND("/",$C163))))))</f>
        <v>0</v>
      </c>
      <c r="BA163" s="42">
        <f t="shared" ref="BA163:BA165" si="364">_xlfn.NUMBERVALUE(IF(V163=0,0,IF(V163=1,LEFT($C163,FIND("/",$C163)-1),SUM(LEFT($C163,FIND("/",$C163)-1),RIGHT($C163,LEN($C163)-FIND("/",$C163))))))</f>
        <v>0</v>
      </c>
      <c r="BB163" s="42">
        <f t="shared" ref="BB163:BB165" si="365">_xlfn.NUMBERVALUE(IF(W163=0,0,IF(W163=1,LEFT($C163,FIND("/",$C163)-1),SUM(LEFT($C163,FIND("/",$C163)-1),RIGHT($C163,LEN($C163)-FIND("/",$C163))))))</f>
        <v>0</v>
      </c>
      <c r="BC163" s="42">
        <f t="shared" ref="BC163:BC165" si="366">_xlfn.NUMBERVALUE(IF(X163=0,0,IF(X163=1,LEFT($C163,FIND("/",$C163)-1),SUM(LEFT($C163,FIND("/",$C163)-1),RIGHT($C163,LEN($C163)-FIND("/",$C163))))))</f>
        <v>0</v>
      </c>
      <c r="BD163" s="42">
        <f t="shared" ref="BD163:BD165" si="367">_xlfn.NUMBERVALUE(IF(Y163=0,0,IF(Y163=1,LEFT($C163,FIND("/",$C163)-1),SUM(LEFT($C163,FIND("/",$C163)-1),RIGHT($C163,LEN($C163)-FIND("/",$C163))))))</f>
        <v>0</v>
      </c>
      <c r="BE163" s="42">
        <f t="shared" ref="BE163:BE165" si="368">_xlfn.NUMBERVALUE(IF(Z163=0,0,IF(Z163=1,LEFT($C163,FIND("/",$C163)-1),SUM(LEFT($C163,FIND("/",$C163)-1),RIGHT($C163,LEN($C163)-FIND("/",$C163))))))</f>
        <v>0</v>
      </c>
      <c r="BF163" s="42">
        <f t="shared" ref="BF163:BF165" si="369">_xlfn.NUMBERVALUE(IF(AA163=0,0,IF(AA163=1,LEFT($C163,FIND("/",$C163)-1),SUM(LEFT($C163,FIND("/",$C163)-1),RIGHT($C163,LEN($C163)-FIND("/",$C163))))))</f>
        <v>0</v>
      </c>
      <c r="BG163" s="42">
        <f t="shared" ref="BG163:BG165" si="370">_xlfn.NUMBERVALUE(IF(AB163=0,0,IF(AB163=1,LEFT($C163,FIND("/",$C163)-1),SUM(LEFT($C163,FIND("/",$C163)-1),RIGHT($C163,LEN($C163)-FIND("/",$C163))))))</f>
        <v>0</v>
      </c>
      <c r="BH163" s="42">
        <f t="shared" ref="BH163:BH165" si="371">_xlfn.NUMBERVALUE(IF(AC163=0,0,IF(AC163=1,LEFT($C163,FIND("/",$C163)-1),SUM(LEFT($C163,FIND("/",$C163)-1),RIGHT($C163,LEN($C163)-FIND("/",$C163))))))</f>
        <v>0</v>
      </c>
      <c r="BI163" s="42">
        <f t="shared" ref="BI163:BI165" si="372">_xlfn.NUMBERVALUE(IF(AD163=0,0,IF(AD163=1,LEFT($C163,FIND("/",$C163)-1),SUM(LEFT($C163,FIND("/",$C163)-1),RIGHT($C163,LEN($C163)-FIND("/",$C163))))))</f>
        <v>0</v>
      </c>
    </row>
    <row r="164" spans="1:61" x14ac:dyDescent="0.25">
      <c r="A164" s="477"/>
      <c r="B164" s="21" t="s">
        <v>212</v>
      </c>
      <c r="C164" s="1" t="str">
        <f t="shared" si="348"/>
        <v>3/5</v>
      </c>
      <c r="D164" s="1" t="str">
        <f>IF(IF((COUNTIF(Professional_Skill_Options,'Skill Workbook'!F164)&gt;0),INDEX(Professional_Skill_Choices,MATCH(F164,Professional_Skill_Options,0)),FALSE),"X","")</f>
        <v/>
      </c>
      <c r="E164" s="1" t="str">
        <f>IF(IF((COUNTIF(Professional_Skill_Options,'Skill Workbook'!F164)&gt;0),INDEX(Professional_Skill_Knacks,MATCH(F164,Professional_Skill_Options,0)),FALSE),"X","")</f>
        <v/>
      </c>
      <c r="F164" t="s">
        <v>213</v>
      </c>
      <c r="G164" s="194" t="s">
        <v>462</v>
      </c>
      <c r="H164" s="195"/>
      <c r="I164" s="1" t="s">
        <v>217</v>
      </c>
      <c r="J164" s="46"/>
      <c r="AE164" s="1">
        <f>SUM(K164:INDEX(K164:AD164,Level))+J164-IF(H164="",0,1)</f>
        <v>0</v>
      </c>
      <c r="AF164" s="26">
        <f t="shared" si="349"/>
        <v>-25</v>
      </c>
      <c r="AG164" s="26" t="e" cm="1">
        <f t="array" aca="1" ref="AG164" ca="1">IF(I164="NA",0,INDIRECT(LEFT(I164,2))+INDIRECT(MID(I164,4,2))+INDIRECT(RIGHT(I164,2)))</f>
        <v>#N/A</v>
      </c>
      <c r="AH164" s="26">
        <f t="shared" si="350"/>
        <v>0</v>
      </c>
      <c r="AI164" s="26">
        <f t="shared" si="351"/>
        <v>0</v>
      </c>
      <c r="AJ164" s="26"/>
      <c r="AK164" s="26" t="e">
        <f t="shared" ca="1" si="280"/>
        <v>#N/A</v>
      </c>
      <c r="AL164" s="32" t="e">
        <f t="shared" ca="1" si="352"/>
        <v>#N/A</v>
      </c>
      <c r="AP164" s="42">
        <f t="shared" si="353"/>
        <v>0</v>
      </c>
      <c r="AQ164" s="42">
        <f t="shared" si="354"/>
        <v>0</v>
      </c>
      <c r="AR164" s="42">
        <f t="shared" si="355"/>
        <v>0</v>
      </c>
      <c r="AS164" s="42">
        <f t="shared" si="356"/>
        <v>0</v>
      </c>
      <c r="AT164" s="42">
        <f t="shared" si="357"/>
        <v>0</v>
      </c>
      <c r="AU164" s="42">
        <f t="shared" si="358"/>
        <v>0</v>
      </c>
      <c r="AV164" s="42">
        <f t="shared" si="359"/>
        <v>0</v>
      </c>
      <c r="AW164" s="42">
        <f t="shared" si="360"/>
        <v>0</v>
      </c>
      <c r="AX164" s="42">
        <f t="shared" si="361"/>
        <v>0</v>
      </c>
      <c r="AY164" s="42">
        <f t="shared" si="362"/>
        <v>0</v>
      </c>
      <c r="AZ164" s="42">
        <f t="shared" si="363"/>
        <v>0</v>
      </c>
      <c r="BA164" s="42">
        <f t="shared" si="364"/>
        <v>0</v>
      </c>
      <c r="BB164" s="42">
        <f t="shared" si="365"/>
        <v>0</v>
      </c>
      <c r="BC164" s="42">
        <f t="shared" si="366"/>
        <v>0</v>
      </c>
      <c r="BD164" s="42">
        <f t="shared" si="367"/>
        <v>0</v>
      </c>
      <c r="BE164" s="42">
        <f t="shared" si="368"/>
        <v>0</v>
      </c>
      <c r="BF164" s="42">
        <f t="shared" si="369"/>
        <v>0</v>
      </c>
      <c r="BG164" s="42">
        <f t="shared" si="370"/>
        <v>0</v>
      </c>
      <c r="BH164" s="42">
        <f t="shared" si="371"/>
        <v>0</v>
      </c>
      <c r="BI164" s="42">
        <f t="shared" si="372"/>
        <v>0</v>
      </c>
    </row>
    <row r="165" spans="1:61" x14ac:dyDescent="0.25">
      <c r="A165" s="477"/>
      <c r="B165" s="21" t="s">
        <v>212</v>
      </c>
      <c r="C165" s="1" t="str">
        <f t="shared" si="348"/>
        <v>3/5</v>
      </c>
      <c r="D165" s="1" t="str">
        <f>IF(IF((COUNTIF(Professional_Skill_Options,'Skill Workbook'!F165)&gt;0),INDEX(Professional_Skill_Choices,MATCH(F165,Professional_Skill_Options,0)),FALSE),"X","")</f>
        <v/>
      </c>
      <c r="E165" s="1" t="str">
        <f>IF(IF((COUNTIF(Professional_Skill_Options,'Skill Workbook'!F165)&gt;0),INDEX(Professional_Skill_Knacks,MATCH(F165,Professional_Skill_Options,0)),FALSE),"X","")</f>
        <v/>
      </c>
      <c r="F165" t="s">
        <v>213</v>
      </c>
      <c r="G165" s="194" t="s">
        <v>463</v>
      </c>
      <c r="H165" s="195"/>
      <c r="I165" s="1" t="s">
        <v>217</v>
      </c>
      <c r="J165" s="46"/>
      <c r="AE165" s="1">
        <f>SUM(K165:INDEX(K165:AD165,Level))+J165-IF(H165="",0,1)</f>
        <v>0</v>
      </c>
      <c r="AF165" s="26">
        <f t="shared" si="349"/>
        <v>-25</v>
      </c>
      <c r="AG165" s="26" t="e" cm="1">
        <f t="array" aca="1" ref="AG165" ca="1">IF(I165="NA",0,INDIRECT(LEFT(I165,2))+INDIRECT(MID(I165,4,2))+INDIRECT(RIGHT(I165,2)))</f>
        <v>#N/A</v>
      </c>
      <c r="AH165" s="26">
        <f t="shared" si="350"/>
        <v>0</v>
      </c>
      <c r="AI165" s="26">
        <f t="shared" si="351"/>
        <v>0</v>
      </c>
      <c r="AJ165" s="26"/>
      <c r="AK165" s="26" t="e">
        <f t="shared" ca="1" si="280"/>
        <v>#N/A</v>
      </c>
      <c r="AL165" s="32" t="e">
        <f t="shared" ca="1" si="352"/>
        <v>#N/A</v>
      </c>
      <c r="AP165" s="42">
        <f t="shared" si="353"/>
        <v>0</v>
      </c>
      <c r="AQ165" s="42">
        <f t="shared" si="354"/>
        <v>0</v>
      </c>
      <c r="AR165" s="42">
        <f t="shared" si="355"/>
        <v>0</v>
      </c>
      <c r="AS165" s="42">
        <f t="shared" si="356"/>
        <v>0</v>
      </c>
      <c r="AT165" s="42">
        <f t="shared" si="357"/>
        <v>0</v>
      </c>
      <c r="AU165" s="42">
        <f t="shared" si="358"/>
        <v>0</v>
      </c>
      <c r="AV165" s="42">
        <f t="shared" si="359"/>
        <v>0</v>
      </c>
      <c r="AW165" s="42">
        <f t="shared" si="360"/>
        <v>0</v>
      </c>
      <c r="AX165" s="42">
        <f t="shared" si="361"/>
        <v>0</v>
      </c>
      <c r="AY165" s="42">
        <f t="shared" si="362"/>
        <v>0</v>
      </c>
      <c r="AZ165" s="42">
        <f t="shared" si="363"/>
        <v>0</v>
      </c>
      <c r="BA165" s="42">
        <f t="shared" si="364"/>
        <v>0</v>
      </c>
      <c r="BB165" s="42">
        <f t="shared" si="365"/>
        <v>0</v>
      </c>
      <c r="BC165" s="42">
        <f t="shared" si="366"/>
        <v>0</v>
      </c>
      <c r="BD165" s="42">
        <f t="shared" si="367"/>
        <v>0</v>
      </c>
      <c r="BE165" s="42">
        <f t="shared" si="368"/>
        <v>0</v>
      </c>
      <c r="BF165" s="42">
        <f t="shared" si="369"/>
        <v>0</v>
      </c>
      <c r="BG165" s="42">
        <f t="shared" si="370"/>
        <v>0</v>
      </c>
      <c r="BH165" s="42">
        <f t="shared" si="371"/>
        <v>0</v>
      </c>
      <c r="BI165" s="42">
        <f t="shared" si="372"/>
        <v>0</v>
      </c>
    </row>
    <row r="166" spans="1:61" x14ac:dyDescent="0.25">
      <c r="A166" s="477"/>
      <c r="B166" s="21" t="s">
        <v>212</v>
      </c>
      <c r="C166" s="1" t="str">
        <f t="shared" si="348"/>
        <v>3/5</v>
      </c>
      <c r="D166" s="1" t="str">
        <f>IF(IF((COUNTIF(Professional_Skill_Options,'Skill Workbook'!F166)&gt;0),INDEX(Professional_Skill_Choices,MATCH(F166,Professional_Skill_Options,0)),FALSE),"X","")</f>
        <v/>
      </c>
      <c r="E166" s="1" t="str">
        <f>IF(IF((COUNTIF(Professional_Skill_Options,'Skill Workbook'!F166)&gt;0),INDEX(Professional_Skill_Knacks,MATCH(F166,Professional_Skill_Options,0)),FALSE),"X","")</f>
        <v/>
      </c>
      <c r="F166" t="s">
        <v>213</v>
      </c>
      <c r="G166" s="194" t="s">
        <v>464</v>
      </c>
      <c r="H166" s="195"/>
      <c r="I166" s="1" t="s">
        <v>217</v>
      </c>
      <c r="J166" s="46"/>
      <c r="AE166" s="1">
        <f>SUM(K166:INDEX(K166:AD166,Level))+J166-IF(H166="",0,1)</f>
        <v>0</v>
      </c>
      <c r="AF166" s="26">
        <f t="shared" si="304"/>
        <v>-25</v>
      </c>
      <c r="AG166" s="26" t="e" cm="1">
        <f t="array" aca="1" ref="AG166" ca="1">IF(I166="NA",0,INDIRECT(LEFT(I166,2))+INDIRECT(MID(I166,4,2))+INDIRECT(RIGHT(I166,2)))</f>
        <v>#N/A</v>
      </c>
      <c r="AH166" s="26">
        <f t="shared" si="276"/>
        <v>0</v>
      </c>
      <c r="AI166" s="26">
        <f t="shared" si="277"/>
        <v>0</v>
      </c>
      <c r="AJ166" s="26"/>
      <c r="AK166" s="26" t="e">
        <f t="shared" ca="1" si="280"/>
        <v>#N/A</v>
      </c>
      <c r="AL166" s="32" t="e">
        <f t="shared" ca="1" si="352"/>
        <v>#N/A</v>
      </c>
      <c r="AP166" s="42">
        <f t="shared" si="305"/>
        <v>0</v>
      </c>
      <c r="AQ166" s="42">
        <f t="shared" si="306"/>
        <v>0</v>
      </c>
      <c r="AR166" s="42">
        <f t="shared" si="307"/>
        <v>0</v>
      </c>
      <c r="AS166" s="42">
        <f t="shared" si="308"/>
        <v>0</v>
      </c>
      <c r="AT166" s="42">
        <f t="shared" si="309"/>
        <v>0</v>
      </c>
      <c r="AU166" s="42">
        <f t="shared" si="310"/>
        <v>0</v>
      </c>
      <c r="AV166" s="42">
        <f t="shared" si="311"/>
        <v>0</v>
      </c>
      <c r="AW166" s="42">
        <f t="shared" si="312"/>
        <v>0</v>
      </c>
      <c r="AX166" s="42">
        <f t="shared" si="313"/>
        <v>0</v>
      </c>
      <c r="AY166" s="42">
        <f t="shared" si="314"/>
        <v>0</v>
      </c>
      <c r="AZ166" s="42">
        <f t="shared" si="315"/>
        <v>0</v>
      </c>
      <c r="BA166" s="42">
        <f t="shared" si="316"/>
        <v>0</v>
      </c>
      <c r="BB166" s="42">
        <f t="shared" si="317"/>
        <v>0</v>
      </c>
      <c r="BC166" s="42">
        <f t="shared" si="318"/>
        <v>0</v>
      </c>
      <c r="BD166" s="42">
        <f t="shared" si="319"/>
        <v>0</v>
      </c>
      <c r="BE166" s="42">
        <f t="shared" si="320"/>
        <v>0</v>
      </c>
      <c r="BF166" s="42">
        <f t="shared" si="321"/>
        <v>0</v>
      </c>
      <c r="BG166" s="42">
        <f t="shared" si="322"/>
        <v>0</v>
      </c>
      <c r="BH166" s="42">
        <f t="shared" si="323"/>
        <v>0</v>
      </c>
      <c r="BI166" s="42">
        <f t="shared" si="324"/>
        <v>0</v>
      </c>
    </row>
    <row r="167" spans="1:61" x14ac:dyDescent="0.25">
      <c r="A167" s="477"/>
      <c r="B167" s="21" t="s">
        <v>212</v>
      </c>
      <c r="C167" s="1" t="str">
        <f t="shared" si="348"/>
        <v>3/5</v>
      </c>
      <c r="D167" s="1" t="str">
        <f>IF(IF((COUNTIF(Professional_Skill_Options,'Skill Workbook'!F167)&gt;0),INDEX(Professional_Skill_Choices,MATCH(F167,Professional_Skill_Options,0)),FALSE),"X","")</f>
        <v/>
      </c>
      <c r="E167" s="1" t="str">
        <f>IF(IF((COUNTIF(Professional_Skill_Options,'Skill Workbook'!F167)&gt;0),INDEX(Professional_Skill_Knacks,MATCH(F167,Professional_Skill_Options,0)),FALSE),"X","")</f>
        <v/>
      </c>
      <c r="F167" t="s">
        <v>214</v>
      </c>
      <c r="G167" s="196"/>
      <c r="H167" s="198"/>
      <c r="I167" s="1" t="s">
        <v>217</v>
      </c>
      <c r="J167" s="1">
        <f>'Base Details'!V125</f>
        <v>0</v>
      </c>
      <c r="AE167" s="1">
        <f>SUM(K167:INDEX(K167:AD167,Level))+J167-IF(H167="",0,1)</f>
        <v>0</v>
      </c>
      <c r="AF167" s="26">
        <f t="shared" si="304"/>
        <v>-25</v>
      </c>
      <c r="AG167" s="26" t="e" cm="1">
        <f t="array" aca="1" ref="AG167" ca="1">IF(I167="NA",0,INDIRECT(LEFT(I167,2))+INDIRECT(MID(I167,4,2))+INDIRECT(RIGHT(I167,2)))</f>
        <v>#N/A</v>
      </c>
      <c r="AH167" s="26">
        <f t="shared" si="276"/>
        <v>0</v>
      </c>
      <c r="AI167" s="26">
        <f t="shared" si="277"/>
        <v>0</v>
      </c>
      <c r="AJ167" s="26"/>
      <c r="AK167" s="26" t="e">
        <f t="shared" ca="1" si="280"/>
        <v>#N/A</v>
      </c>
      <c r="AL167" s="32" t="e">
        <f t="shared" ca="1" si="352"/>
        <v>#N/A</v>
      </c>
      <c r="AP167" s="42">
        <f t="shared" si="305"/>
        <v>0</v>
      </c>
      <c r="AQ167" s="42">
        <f t="shared" si="306"/>
        <v>0</v>
      </c>
      <c r="AR167" s="42">
        <f t="shared" si="307"/>
        <v>0</v>
      </c>
      <c r="AS167" s="42">
        <f t="shared" si="308"/>
        <v>0</v>
      </c>
      <c r="AT167" s="42">
        <f t="shared" si="309"/>
        <v>0</v>
      </c>
      <c r="AU167" s="42">
        <f t="shared" si="310"/>
        <v>0</v>
      </c>
      <c r="AV167" s="42">
        <f t="shared" si="311"/>
        <v>0</v>
      </c>
      <c r="AW167" s="42">
        <f t="shared" si="312"/>
        <v>0</v>
      </c>
      <c r="AX167" s="42">
        <f t="shared" si="313"/>
        <v>0</v>
      </c>
      <c r="AY167" s="42">
        <f t="shared" si="314"/>
        <v>0</v>
      </c>
      <c r="AZ167" s="42">
        <f t="shared" si="315"/>
        <v>0</v>
      </c>
      <c r="BA167" s="42">
        <f t="shared" si="316"/>
        <v>0</v>
      </c>
      <c r="BB167" s="42">
        <f t="shared" si="317"/>
        <v>0</v>
      </c>
      <c r="BC167" s="42">
        <f t="shared" si="318"/>
        <v>0</v>
      </c>
      <c r="BD167" s="42">
        <f t="shared" si="319"/>
        <v>0</v>
      </c>
      <c r="BE167" s="42">
        <f t="shared" si="320"/>
        <v>0</v>
      </c>
      <c r="BF167" s="42">
        <f t="shared" si="321"/>
        <v>0</v>
      </c>
      <c r="BG167" s="42">
        <f t="shared" si="322"/>
        <v>0</v>
      </c>
      <c r="BH167" s="42">
        <f t="shared" si="323"/>
        <v>0</v>
      </c>
      <c r="BI167" s="42">
        <f t="shared" si="324"/>
        <v>0</v>
      </c>
    </row>
    <row r="168" spans="1:61" x14ac:dyDescent="0.25">
      <c r="A168" s="477"/>
      <c r="B168" s="21" t="s">
        <v>212</v>
      </c>
      <c r="C168" s="1" t="str">
        <f t="shared" si="348"/>
        <v>3/5</v>
      </c>
      <c r="D168" s="1" t="str">
        <f>IF(IF((COUNTIF(Professional_Skill_Options,'Skill Workbook'!F168)&gt;0),INDEX(Professional_Skill_Choices,MATCH(F168,Professional_Skill_Options,0)),FALSE),"X","")</f>
        <v/>
      </c>
      <c r="E168" s="1" t="str">
        <f>IF(IF((COUNTIF(Professional_Skill_Options,'Skill Workbook'!F168)&gt;0),INDEX(Professional_Skill_Knacks,MATCH(F168,Professional_Skill_Options,0)),FALSE),"X","")</f>
        <v/>
      </c>
      <c r="F168" t="s">
        <v>215</v>
      </c>
      <c r="G168" s="196"/>
      <c r="H168" s="198"/>
      <c r="I168" s="1" t="s">
        <v>217</v>
      </c>
      <c r="J168" s="1">
        <f>'Base Details'!V126</f>
        <v>0</v>
      </c>
      <c r="AE168" s="1">
        <f>SUM(K168:INDEX(K168:AD168,Level))+J168-IF(H168="",0,1)</f>
        <v>0</v>
      </c>
      <c r="AF168" s="26">
        <f t="shared" si="304"/>
        <v>-25</v>
      </c>
      <c r="AG168" s="26" t="e" cm="1">
        <f t="array" aca="1" ref="AG168" ca="1">IF(I168="NA",0,INDIRECT(LEFT(I168,2))+INDIRECT(MID(I168,4,2))+INDIRECT(RIGHT(I168,2)))</f>
        <v>#N/A</v>
      </c>
      <c r="AH168" s="26">
        <f t="shared" si="276"/>
        <v>0</v>
      </c>
      <c r="AI168" s="26">
        <f t="shared" si="277"/>
        <v>0</v>
      </c>
      <c r="AJ168" s="26"/>
      <c r="AK168" s="26" t="e">
        <f t="shared" ca="1" si="280"/>
        <v>#N/A</v>
      </c>
      <c r="AL168" s="32" t="e">
        <f t="shared" ca="1" si="352"/>
        <v>#N/A</v>
      </c>
      <c r="AP168" s="42">
        <f t="shared" si="305"/>
        <v>0</v>
      </c>
      <c r="AQ168" s="42">
        <f t="shared" si="306"/>
        <v>0</v>
      </c>
      <c r="AR168" s="42">
        <f t="shared" si="307"/>
        <v>0</v>
      </c>
      <c r="AS168" s="42">
        <f t="shared" si="308"/>
        <v>0</v>
      </c>
      <c r="AT168" s="42">
        <f t="shared" si="309"/>
        <v>0</v>
      </c>
      <c r="AU168" s="42">
        <f t="shared" si="310"/>
        <v>0</v>
      </c>
      <c r="AV168" s="42">
        <f t="shared" si="311"/>
        <v>0</v>
      </c>
      <c r="AW168" s="42">
        <f t="shared" si="312"/>
        <v>0</v>
      </c>
      <c r="AX168" s="42">
        <f t="shared" si="313"/>
        <v>0</v>
      </c>
      <c r="AY168" s="42">
        <f t="shared" si="314"/>
        <v>0</v>
      </c>
      <c r="AZ168" s="42">
        <f t="shared" si="315"/>
        <v>0</v>
      </c>
      <c r="BA168" s="42">
        <f t="shared" si="316"/>
        <v>0</v>
      </c>
      <c r="BB168" s="42">
        <f t="shared" si="317"/>
        <v>0</v>
      </c>
      <c r="BC168" s="42">
        <f t="shared" si="318"/>
        <v>0</v>
      </c>
      <c r="BD168" s="42">
        <f t="shared" si="319"/>
        <v>0</v>
      </c>
      <c r="BE168" s="42">
        <f t="shared" si="320"/>
        <v>0</v>
      </c>
      <c r="BF168" s="42">
        <f t="shared" si="321"/>
        <v>0</v>
      </c>
      <c r="BG168" s="42">
        <f t="shared" si="322"/>
        <v>0</v>
      </c>
      <c r="BH168" s="42">
        <f t="shared" si="323"/>
        <v>0</v>
      </c>
      <c r="BI168" s="42">
        <f t="shared" si="324"/>
        <v>0</v>
      </c>
    </row>
    <row r="169" spans="1:61" x14ac:dyDescent="0.25">
      <c r="A169" s="477"/>
      <c r="B169" s="21" t="s">
        <v>212</v>
      </c>
      <c r="C169" s="1" t="str">
        <f t="shared" si="348"/>
        <v>3/5</v>
      </c>
      <c r="D169" s="1" t="str">
        <f>IF(IF((COUNTIF(Professional_Skill_Options,'Skill Workbook'!F169)&gt;0),INDEX(Professional_Skill_Choices,MATCH(F169,Professional_Skill_Options,0)),FALSE),"X","")</f>
        <v/>
      </c>
      <c r="E169" s="1" t="str">
        <f>IF(IF((COUNTIF(Professional_Skill_Options,'Skill Workbook'!F169)&gt;0),INDEX(Professional_Skill_Knacks,MATCH(F169,Professional_Skill_Options,0)),FALSE),"X","")</f>
        <v/>
      </c>
      <c r="F169" t="s">
        <v>216</v>
      </c>
      <c r="G169" s="196"/>
      <c r="H169" s="198"/>
      <c r="I169" s="1" t="s">
        <v>217</v>
      </c>
      <c r="J169" s="46"/>
      <c r="AE169" s="1">
        <f>SUM(K169:INDEX(K169:AD169,Level))+J169-IF(H169="",0,1)</f>
        <v>0</v>
      </c>
      <c r="AF169" s="26">
        <f t="shared" si="304"/>
        <v>-25</v>
      </c>
      <c r="AG169" s="26" t="e" cm="1">
        <f t="array" aca="1" ref="AG169" ca="1">IF(I169="NA",0,INDIRECT(LEFT(I169,2))+INDIRECT(MID(I169,4,2))+INDIRECT(RIGHT(I169,2)))</f>
        <v>#N/A</v>
      </c>
      <c r="AH169" s="26">
        <f t="shared" si="276"/>
        <v>0</v>
      </c>
      <c r="AI169" s="26">
        <f t="shared" si="277"/>
        <v>0</v>
      </c>
      <c r="AJ169" s="26"/>
      <c r="AK169" s="26" t="e">
        <f t="shared" ca="1" si="280"/>
        <v>#N/A</v>
      </c>
      <c r="AL169" s="32" t="e">
        <f t="shared" ca="1" si="352"/>
        <v>#N/A</v>
      </c>
      <c r="AP169" s="42">
        <f t="shared" si="305"/>
        <v>0</v>
      </c>
      <c r="AQ169" s="42">
        <f t="shared" si="306"/>
        <v>0</v>
      </c>
      <c r="AR169" s="42">
        <f t="shared" si="307"/>
        <v>0</v>
      </c>
      <c r="AS169" s="42">
        <f t="shared" si="308"/>
        <v>0</v>
      </c>
      <c r="AT169" s="42">
        <f t="shared" si="309"/>
        <v>0</v>
      </c>
      <c r="AU169" s="42">
        <f t="shared" si="310"/>
        <v>0</v>
      </c>
      <c r="AV169" s="42">
        <f t="shared" si="311"/>
        <v>0</v>
      </c>
      <c r="AW169" s="42">
        <f t="shared" si="312"/>
        <v>0</v>
      </c>
      <c r="AX169" s="42">
        <f t="shared" si="313"/>
        <v>0</v>
      </c>
      <c r="AY169" s="42">
        <f t="shared" si="314"/>
        <v>0</v>
      </c>
      <c r="AZ169" s="42">
        <f t="shared" si="315"/>
        <v>0</v>
      </c>
      <c r="BA169" s="42">
        <f t="shared" si="316"/>
        <v>0</v>
      </c>
      <c r="BB169" s="42">
        <f t="shared" si="317"/>
        <v>0</v>
      </c>
      <c r="BC169" s="42">
        <f t="shared" si="318"/>
        <v>0</v>
      </c>
      <c r="BD169" s="42">
        <f t="shared" si="319"/>
        <v>0</v>
      </c>
      <c r="BE169" s="42">
        <f t="shared" si="320"/>
        <v>0</v>
      </c>
      <c r="BF169" s="42">
        <f t="shared" si="321"/>
        <v>0</v>
      </c>
      <c r="BG169" s="42">
        <f t="shared" si="322"/>
        <v>0</v>
      </c>
      <c r="BH169" s="42">
        <f t="shared" si="323"/>
        <v>0</v>
      </c>
      <c r="BI169" s="42">
        <f t="shared" si="324"/>
        <v>0</v>
      </c>
    </row>
    <row r="170" spans="1:61" x14ac:dyDescent="0.25">
      <c r="A170" s="477"/>
      <c r="B170" s="21" t="s">
        <v>218</v>
      </c>
      <c r="C170" s="1" t="str">
        <f t="shared" si="348"/>
        <v>3/5</v>
      </c>
      <c r="D170" s="1" t="str">
        <f>IF(IF((COUNTIF(Professional_Skill_Options,'Skill Workbook'!F170)&gt;0),INDEX(Professional_Skill_Choices,MATCH(F170,Professional_Skill_Options,0)),FALSE),"X","")</f>
        <v/>
      </c>
      <c r="E170" s="1" t="str">
        <f>IF(IF((COUNTIF(Professional_Skill_Options,'Skill Workbook'!F170)&gt;0),INDEX(Professional_Skill_Knacks,MATCH(F170,Professional_Skill_Options,0)),FALSE),"X","")</f>
        <v/>
      </c>
      <c r="F170" t="s">
        <v>219</v>
      </c>
      <c r="G170" s="196"/>
      <c r="H170" s="198"/>
      <c r="I170" s="1" t="s">
        <v>222</v>
      </c>
      <c r="J170" s="46"/>
      <c r="AE170" s="1">
        <f>SUM(K170:INDEX(K170:AD170,Level))+J170-IF(H170="",0,1)</f>
        <v>0</v>
      </c>
      <c r="AF170" s="26">
        <f t="shared" si="304"/>
        <v>-25</v>
      </c>
      <c r="AG170" s="26" t="e" cm="1">
        <f t="array" aca="1" ref="AG170" ca="1">IF(I170="NA",0,INDIRECT(LEFT(I170,2))+INDIRECT(MID(I170,4,2))+INDIRECT(RIGHT(I170,2)))</f>
        <v>#N/A</v>
      </c>
      <c r="AH170" s="26">
        <f t="shared" si="276"/>
        <v>0</v>
      </c>
      <c r="AI170" s="26">
        <f t="shared" si="277"/>
        <v>0</v>
      </c>
      <c r="AJ170" s="26"/>
      <c r="AK170" s="26" t="e">
        <f t="shared" ca="1" si="280"/>
        <v>#N/A</v>
      </c>
      <c r="AL170" s="32" t="e">
        <f t="shared" ca="1" si="352"/>
        <v>#N/A</v>
      </c>
      <c r="AP170" s="42">
        <f t="shared" si="305"/>
        <v>0</v>
      </c>
      <c r="AQ170" s="42">
        <f t="shared" si="306"/>
        <v>0</v>
      </c>
      <c r="AR170" s="42">
        <f t="shared" si="307"/>
        <v>0</v>
      </c>
      <c r="AS170" s="42">
        <f t="shared" si="308"/>
        <v>0</v>
      </c>
      <c r="AT170" s="42">
        <f t="shared" si="309"/>
        <v>0</v>
      </c>
      <c r="AU170" s="42">
        <f t="shared" si="310"/>
        <v>0</v>
      </c>
      <c r="AV170" s="42">
        <f t="shared" si="311"/>
        <v>0</v>
      </c>
      <c r="AW170" s="42">
        <f t="shared" si="312"/>
        <v>0</v>
      </c>
      <c r="AX170" s="42">
        <f t="shared" si="313"/>
        <v>0</v>
      </c>
      <c r="AY170" s="42">
        <f t="shared" si="314"/>
        <v>0</v>
      </c>
      <c r="AZ170" s="42">
        <f t="shared" si="315"/>
        <v>0</v>
      </c>
      <c r="BA170" s="42">
        <f t="shared" si="316"/>
        <v>0</v>
      </c>
      <c r="BB170" s="42">
        <f t="shared" si="317"/>
        <v>0</v>
      </c>
      <c r="BC170" s="42">
        <f t="shared" si="318"/>
        <v>0</v>
      </c>
      <c r="BD170" s="42">
        <f t="shared" si="319"/>
        <v>0</v>
      </c>
      <c r="BE170" s="42">
        <f t="shared" si="320"/>
        <v>0</v>
      </c>
      <c r="BF170" s="42">
        <f t="shared" si="321"/>
        <v>0</v>
      </c>
      <c r="BG170" s="42">
        <f t="shared" si="322"/>
        <v>0</v>
      </c>
      <c r="BH170" s="42">
        <f t="shared" si="323"/>
        <v>0</v>
      </c>
      <c r="BI170" s="42">
        <f t="shared" si="324"/>
        <v>0</v>
      </c>
    </row>
    <row r="171" spans="1:61" x14ac:dyDescent="0.25">
      <c r="A171" s="477"/>
      <c r="B171" s="21" t="s">
        <v>218</v>
      </c>
      <c r="C171" s="1" t="str">
        <f t="shared" si="348"/>
        <v>3/5</v>
      </c>
      <c r="D171" s="1" t="str">
        <f>IF(IF((COUNTIF(Professional_Skill_Options,'Skill Workbook'!F171)&gt;0),INDEX(Professional_Skill_Choices,MATCH(F171,Professional_Skill_Options,0)),FALSE),"X","")</f>
        <v/>
      </c>
      <c r="E171" s="1" t="str">
        <f>IF(IF((COUNTIF(Professional_Skill_Options,'Skill Workbook'!F171)&gt;0),INDEX(Professional_Skill_Knacks,MATCH(F171,Professional_Skill_Options,0)),FALSE),"X","")</f>
        <v/>
      </c>
      <c r="F171" t="s">
        <v>220</v>
      </c>
      <c r="G171" s="194" t="s">
        <v>465</v>
      </c>
      <c r="H171" s="195"/>
      <c r="I171" s="1" t="s">
        <v>223</v>
      </c>
      <c r="J171" s="46"/>
      <c r="AE171" s="1">
        <f>SUM(K171:INDEX(K171:AD171,Level))+J171-IF(H171="",0,1)</f>
        <v>0</v>
      </c>
      <c r="AF171" s="26">
        <f t="shared" si="304"/>
        <v>-25</v>
      </c>
      <c r="AG171" s="26" t="e" cm="1">
        <f t="array" aca="1" ref="AG171" ca="1">IF(I171="NA",0,INDIRECT(LEFT(I171,2))+INDIRECT(MID(I171,4,2))+INDIRECT(RIGHT(I171,2)))</f>
        <v>#N/A</v>
      </c>
      <c r="AH171" s="26">
        <f t="shared" si="276"/>
        <v>0</v>
      </c>
      <c r="AI171" s="26">
        <f t="shared" si="277"/>
        <v>0</v>
      </c>
      <c r="AJ171" s="26"/>
      <c r="AK171" s="26" t="e">
        <f t="shared" ca="1" si="280"/>
        <v>#N/A</v>
      </c>
      <c r="AL171" s="32" t="e">
        <f t="shared" ca="1" si="352"/>
        <v>#N/A</v>
      </c>
      <c r="AP171" s="42">
        <f t="shared" si="305"/>
        <v>0</v>
      </c>
      <c r="AQ171" s="42">
        <f t="shared" si="306"/>
        <v>0</v>
      </c>
      <c r="AR171" s="42">
        <f t="shared" si="307"/>
        <v>0</v>
      </c>
      <c r="AS171" s="42">
        <f t="shared" si="308"/>
        <v>0</v>
      </c>
      <c r="AT171" s="42">
        <f t="shared" si="309"/>
        <v>0</v>
      </c>
      <c r="AU171" s="42">
        <f t="shared" si="310"/>
        <v>0</v>
      </c>
      <c r="AV171" s="42">
        <f t="shared" si="311"/>
        <v>0</v>
      </c>
      <c r="AW171" s="42">
        <f t="shared" si="312"/>
        <v>0</v>
      </c>
      <c r="AX171" s="42">
        <f t="shared" si="313"/>
        <v>0</v>
      </c>
      <c r="AY171" s="42">
        <f t="shared" si="314"/>
        <v>0</v>
      </c>
      <c r="AZ171" s="42">
        <f t="shared" si="315"/>
        <v>0</v>
      </c>
      <c r="BA171" s="42">
        <f t="shared" si="316"/>
        <v>0</v>
      </c>
      <c r="BB171" s="42">
        <f t="shared" si="317"/>
        <v>0</v>
      </c>
      <c r="BC171" s="42">
        <f t="shared" si="318"/>
        <v>0</v>
      </c>
      <c r="BD171" s="42">
        <f t="shared" si="319"/>
        <v>0</v>
      </c>
      <c r="BE171" s="42">
        <f t="shared" si="320"/>
        <v>0</v>
      </c>
      <c r="BF171" s="42">
        <f t="shared" si="321"/>
        <v>0</v>
      </c>
      <c r="BG171" s="42">
        <f t="shared" si="322"/>
        <v>0</v>
      </c>
      <c r="BH171" s="42">
        <f t="shared" si="323"/>
        <v>0</v>
      </c>
      <c r="BI171" s="42">
        <f t="shared" si="324"/>
        <v>0</v>
      </c>
    </row>
    <row r="172" spans="1:61" x14ac:dyDescent="0.25">
      <c r="A172" s="477"/>
      <c r="B172" s="21" t="s">
        <v>218</v>
      </c>
      <c r="C172" s="1" t="str">
        <f t="shared" si="348"/>
        <v>3/5</v>
      </c>
      <c r="D172" s="1" t="str">
        <f>IF(IF((COUNTIF(Professional_Skill_Options,'Skill Workbook'!F172)&gt;0),INDEX(Professional_Skill_Choices,MATCH(F172,Professional_Skill_Options,0)),FALSE),"X","")</f>
        <v/>
      </c>
      <c r="E172" s="1" t="str">
        <f>IF(IF((COUNTIF(Professional_Skill_Options,'Skill Workbook'!F172)&gt;0),INDEX(Professional_Skill_Knacks,MATCH(F172,Professional_Skill_Options,0)),FALSE),"X","")</f>
        <v/>
      </c>
      <c r="F172" t="s">
        <v>220</v>
      </c>
      <c r="G172" s="194" t="s">
        <v>466</v>
      </c>
      <c r="H172" s="195"/>
      <c r="I172" s="1" t="s">
        <v>223</v>
      </c>
      <c r="J172" s="46"/>
      <c r="AE172" s="1">
        <f>SUM(K172:INDEX(K172:AD172,Level))+J172-IF(H172="",0,1)</f>
        <v>0</v>
      </c>
      <c r="AF172" s="26">
        <f t="shared" si="304"/>
        <v>-25</v>
      </c>
      <c r="AG172" s="26" t="e" cm="1">
        <f t="array" aca="1" ref="AG172" ca="1">IF(I172="NA",0,INDIRECT(LEFT(I172,2))+INDIRECT(MID(I172,4,2))+INDIRECT(RIGHT(I172,2)))</f>
        <v>#N/A</v>
      </c>
      <c r="AH172" s="26">
        <f t="shared" si="276"/>
        <v>0</v>
      </c>
      <c r="AI172" s="26">
        <f t="shared" si="277"/>
        <v>0</v>
      </c>
      <c r="AJ172" s="26"/>
      <c r="AK172" s="26" t="e">
        <f t="shared" ca="1" si="280"/>
        <v>#N/A</v>
      </c>
      <c r="AL172" s="32" t="e">
        <f t="shared" ca="1" si="352"/>
        <v>#N/A</v>
      </c>
      <c r="AP172" s="42">
        <f t="shared" si="305"/>
        <v>0</v>
      </c>
      <c r="AQ172" s="42">
        <f t="shared" si="306"/>
        <v>0</v>
      </c>
      <c r="AR172" s="42">
        <f t="shared" si="307"/>
        <v>0</v>
      </c>
      <c r="AS172" s="42">
        <f t="shared" si="308"/>
        <v>0</v>
      </c>
      <c r="AT172" s="42">
        <f t="shared" si="309"/>
        <v>0</v>
      </c>
      <c r="AU172" s="42">
        <f t="shared" si="310"/>
        <v>0</v>
      </c>
      <c r="AV172" s="42">
        <f t="shared" si="311"/>
        <v>0</v>
      </c>
      <c r="AW172" s="42">
        <f t="shared" si="312"/>
        <v>0</v>
      </c>
      <c r="AX172" s="42">
        <f t="shared" si="313"/>
        <v>0</v>
      </c>
      <c r="AY172" s="42">
        <f t="shared" si="314"/>
        <v>0</v>
      </c>
      <c r="AZ172" s="42">
        <f t="shared" si="315"/>
        <v>0</v>
      </c>
      <c r="BA172" s="42">
        <f t="shared" si="316"/>
        <v>0</v>
      </c>
      <c r="BB172" s="42">
        <f t="shared" si="317"/>
        <v>0</v>
      </c>
      <c r="BC172" s="42">
        <f t="shared" si="318"/>
        <v>0</v>
      </c>
      <c r="BD172" s="42">
        <f t="shared" si="319"/>
        <v>0</v>
      </c>
      <c r="BE172" s="42">
        <f t="shared" si="320"/>
        <v>0</v>
      </c>
      <c r="BF172" s="42">
        <f t="shared" si="321"/>
        <v>0</v>
      </c>
      <c r="BG172" s="42">
        <f t="shared" si="322"/>
        <v>0</v>
      </c>
      <c r="BH172" s="42">
        <f t="shared" si="323"/>
        <v>0</v>
      </c>
      <c r="BI172" s="42">
        <f t="shared" si="324"/>
        <v>0</v>
      </c>
    </row>
    <row r="173" spans="1:61" x14ac:dyDescent="0.25">
      <c r="A173" s="477"/>
      <c r="B173" s="21" t="s">
        <v>218</v>
      </c>
      <c r="C173" s="1" t="str">
        <f t="shared" si="348"/>
        <v>3/5</v>
      </c>
      <c r="D173" s="1" t="str">
        <f>IF(IF((COUNTIF(Professional_Skill_Options,'Skill Workbook'!F173)&gt;0),INDEX(Professional_Skill_Choices,MATCH(F173,Professional_Skill_Options,0)),FALSE),"X","")</f>
        <v/>
      </c>
      <c r="E173" s="1" t="str">
        <f>IF(IF((COUNTIF(Professional_Skill_Options,'Skill Workbook'!F173)&gt;0),INDEX(Professional_Skill_Knacks,MATCH(F173,Professional_Skill_Options,0)),FALSE),"X","")</f>
        <v/>
      </c>
      <c r="F173" t="s">
        <v>221</v>
      </c>
      <c r="G173" s="196"/>
      <c r="H173" s="198"/>
      <c r="I173" s="1" t="s">
        <v>222</v>
      </c>
      <c r="J173" s="46"/>
      <c r="AE173" s="1">
        <f>SUM(K173:INDEX(K173:AD173,Level))+J173-IF(H173="",0,1)</f>
        <v>0</v>
      </c>
      <c r="AF173" s="26">
        <f t="shared" si="304"/>
        <v>-25</v>
      </c>
      <c r="AG173" s="26" t="e" cm="1">
        <f t="array" aca="1" ref="AG173" ca="1">IF(I173="NA",0,INDIRECT(LEFT(I173,2))+INDIRECT(MID(I173,4,2))+INDIRECT(RIGHT(I173,2)))</f>
        <v>#N/A</v>
      </c>
      <c r="AH173" s="26">
        <f t="shared" si="276"/>
        <v>0</v>
      </c>
      <c r="AI173" s="26">
        <f t="shared" si="277"/>
        <v>0</v>
      </c>
      <c r="AJ173" s="26"/>
      <c r="AK173" s="26" t="e">
        <f t="shared" ca="1" si="280"/>
        <v>#N/A</v>
      </c>
      <c r="AL173" s="32" t="e">
        <f t="shared" ca="1" si="352"/>
        <v>#N/A</v>
      </c>
      <c r="AP173" s="42">
        <f t="shared" si="305"/>
        <v>0</v>
      </c>
      <c r="AQ173" s="42">
        <f t="shared" si="306"/>
        <v>0</v>
      </c>
      <c r="AR173" s="42">
        <f t="shared" si="307"/>
        <v>0</v>
      </c>
      <c r="AS173" s="42">
        <f t="shared" si="308"/>
        <v>0</v>
      </c>
      <c r="AT173" s="42">
        <f t="shared" si="309"/>
        <v>0</v>
      </c>
      <c r="AU173" s="42">
        <f t="shared" si="310"/>
        <v>0</v>
      </c>
      <c r="AV173" s="42">
        <f t="shared" si="311"/>
        <v>0</v>
      </c>
      <c r="AW173" s="42">
        <f t="shared" si="312"/>
        <v>0</v>
      </c>
      <c r="AX173" s="42">
        <f t="shared" si="313"/>
        <v>0</v>
      </c>
      <c r="AY173" s="42">
        <f t="shared" si="314"/>
        <v>0</v>
      </c>
      <c r="AZ173" s="42">
        <f t="shared" si="315"/>
        <v>0</v>
      </c>
      <c r="BA173" s="42">
        <f t="shared" si="316"/>
        <v>0</v>
      </c>
      <c r="BB173" s="42">
        <f t="shared" si="317"/>
        <v>0</v>
      </c>
      <c r="BC173" s="42">
        <f t="shared" si="318"/>
        <v>0</v>
      </c>
      <c r="BD173" s="42">
        <f t="shared" si="319"/>
        <v>0</v>
      </c>
      <c r="BE173" s="42">
        <f t="shared" si="320"/>
        <v>0</v>
      </c>
      <c r="BF173" s="42">
        <f t="shared" si="321"/>
        <v>0</v>
      </c>
      <c r="BG173" s="42">
        <f t="shared" si="322"/>
        <v>0</v>
      </c>
      <c r="BH173" s="42">
        <f t="shared" si="323"/>
        <v>0</v>
      </c>
      <c r="BI173" s="42">
        <f t="shared" si="324"/>
        <v>0</v>
      </c>
    </row>
    <row r="174" spans="1:61" x14ac:dyDescent="0.25">
      <c r="A174" s="477"/>
      <c r="B174" s="21" t="s">
        <v>224</v>
      </c>
      <c r="C174" s="1" t="str">
        <f t="shared" si="348"/>
        <v>3/4</v>
      </c>
      <c r="D174" s="1" t="str">
        <f>IF(IF((COUNTIF(Professional_Skill_Options,'Skill Workbook'!F174)&gt;0),INDEX(Professional_Skill_Choices,MATCH(F174,Professional_Skill_Options,0)),FALSE),"X","")</f>
        <v/>
      </c>
      <c r="E174" s="1" t="str">
        <f>IF(IF((COUNTIF(Professional_Skill_Options,'Skill Workbook'!F174)&gt;0),INDEX(Professional_Skill_Knacks,MATCH(F174,Professional_Skill_Options,0)),FALSE),"X","")</f>
        <v/>
      </c>
      <c r="F174" t="s">
        <v>225</v>
      </c>
      <c r="G174" s="196"/>
      <c r="H174" s="198"/>
      <c r="I174" s="1" t="s">
        <v>228</v>
      </c>
      <c r="J174" s="1">
        <f>'Base Details'!J160</f>
        <v>0</v>
      </c>
      <c r="AE174" s="1">
        <f>SUM(K174:INDEX(K174:AD174,Level))+J174-IF(H174="",0,1)</f>
        <v>0</v>
      </c>
      <c r="AF174" s="26">
        <f t="shared" si="304"/>
        <v>-25</v>
      </c>
      <c r="AG174" s="26" t="e" cm="1">
        <f t="array" aca="1" ref="AG174" ca="1">IF(I174="NA",0,INDIRECT(LEFT(I174,2))+INDIRECT(MID(I174,4,2))+INDIRECT(RIGHT(I174,2)))</f>
        <v>#N/A</v>
      </c>
      <c r="AH174" s="26">
        <f t="shared" si="276"/>
        <v>0</v>
      </c>
      <c r="AI174" s="26">
        <f t="shared" si="277"/>
        <v>0</v>
      </c>
      <c r="AJ174" s="26"/>
      <c r="AK174" s="26" t="e">
        <f t="shared" ca="1" si="280"/>
        <v>#N/A</v>
      </c>
      <c r="AL174" s="32" t="e">
        <f t="shared" ca="1" si="352"/>
        <v>#N/A</v>
      </c>
      <c r="AP174" s="42">
        <f t="shared" si="305"/>
        <v>0</v>
      </c>
      <c r="AQ174" s="42">
        <f t="shared" si="306"/>
        <v>0</v>
      </c>
      <c r="AR174" s="42">
        <f t="shared" si="307"/>
        <v>0</v>
      </c>
      <c r="AS174" s="42">
        <f t="shared" si="308"/>
        <v>0</v>
      </c>
      <c r="AT174" s="42">
        <f t="shared" si="309"/>
        <v>0</v>
      </c>
      <c r="AU174" s="42">
        <f t="shared" si="310"/>
        <v>0</v>
      </c>
      <c r="AV174" s="42">
        <f t="shared" si="311"/>
        <v>0</v>
      </c>
      <c r="AW174" s="42">
        <f t="shared" si="312"/>
        <v>0</v>
      </c>
      <c r="AX174" s="42">
        <f t="shared" si="313"/>
        <v>0</v>
      </c>
      <c r="AY174" s="42">
        <f t="shared" si="314"/>
        <v>0</v>
      </c>
      <c r="AZ174" s="42">
        <f t="shared" si="315"/>
        <v>0</v>
      </c>
      <c r="BA174" s="42">
        <f t="shared" si="316"/>
        <v>0</v>
      </c>
      <c r="BB174" s="42">
        <f t="shared" si="317"/>
        <v>0</v>
      </c>
      <c r="BC174" s="42">
        <f t="shared" si="318"/>
        <v>0</v>
      </c>
      <c r="BD174" s="42">
        <f t="shared" si="319"/>
        <v>0</v>
      </c>
      <c r="BE174" s="42">
        <f t="shared" si="320"/>
        <v>0</v>
      </c>
      <c r="BF174" s="42">
        <f t="shared" si="321"/>
        <v>0</v>
      </c>
      <c r="BG174" s="42">
        <f t="shared" si="322"/>
        <v>0</v>
      </c>
      <c r="BH174" s="42">
        <f t="shared" si="323"/>
        <v>0</v>
      </c>
      <c r="BI174" s="42">
        <f t="shared" si="324"/>
        <v>0</v>
      </c>
    </row>
    <row r="175" spans="1:61" x14ac:dyDescent="0.25">
      <c r="A175" s="477"/>
      <c r="B175" s="21" t="s">
        <v>224</v>
      </c>
      <c r="C175" s="1" t="str">
        <f t="shared" si="348"/>
        <v>3/4</v>
      </c>
      <c r="D175" s="1" t="str">
        <f>IF(IF((COUNTIF(Professional_Skill_Options,'Skill Workbook'!F175)&gt;0),INDEX(Professional_Skill_Choices,MATCH(F175,Professional_Skill_Options,0)),FALSE),"X","")</f>
        <v/>
      </c>
      <c r="E175" s="1" t="str">
        <f>IF(IF((COUNTIF(Professional_Skill_Options,'Skill Workbook'!F175)&gt;0),INDEX(Professional_Skill_Knacks,MATCH(F175,Professional_Skill_Options,0)),FALSE),"X","")</f>
        <v/>
      </c>
      <c r="F175" t="s">
        <v>226</v>
      </c>
      <c r="G175" s="196"/>
      <c r="H175" s="198"/>
      <c r="I175" s="1" t="s">
        <v>229</v>
      </c>
      <c r="J175" s="1">
        <f>'Base Details'!J161</f>
        <v>0</v>
      </c>
      <c r="AE175" s="1">
        <f>SUM(K175:INDEX(K175:AD175,Level))+J175-IF(H175="",0,1)</f>
        <v>0</v>
      </c>
      <c r="AF175" s="26">
        <f t="shared" si="304"/>
        <v>-25</v>
      </c>
      <c r="AG175" s="26" t="e" cm="1">
        <f t="array" aca="1" ref="AG175" ca="1">IF(I175="NA",0,INDIRECT(LEFT(I175,2))+INDIRECT(MID(I175,4,2))+INDIRECT(RIGHT(I175,2)))</f>
        <v>#N/A</v>
      </c>
      <c r="AH175" s="26">
        <f t="shared" si="276"/>
        <v>0</v>
      </c>
      <c r="AI175" s="26">
        <f t="shared" si="277"/>
        <v>0</v>
      </c>
      <c r="AJ175" s="26"/>
      <c r="AK175" s="26" t="e">
        <f t="shared" ca="1" si="280"/>
        <v>#N/A</v>
      </c>
      <c r="AL175" s="32" t="e">
        <f t="shared" ca="1" si="352"/>
        <v>#N/A</v>
      </c>
      <c r="AP175" s="42">
        <f t="shared" si="305"/>
        <v>0</v>
      </c>
      <c r="AQ175" s="42">
        <f t="shared" si="306"/>
        <v>0</v>
      </c>
      <c r="AR175" s="42">
        <f t="shared" si="307"/>
        <v>0</v>
      </c>
      <c r="AS175" s="42">
        <f t="shared" si="308"/>
        <v>0</v>
      </c>
      <c r="AT175" s="42">
        <f t="shared" si="309"/>
        <v>0</v>
      </c>
      <c r="AU175" s="42">
        <f t="shared" si="310"/>
        <v>0</v>
      </c>
      <c r="AV175" s="42">
        <f t="shared" si="311"/>
        <v>0</v>
      </c>
      <c r="AW175" s="42">
        <f t="shared" si="312"/>
        <v>0</v>
      </c>
      <c r="AX175" s="42">
        <f t="shared" si="313"/>
        <v>0</v>
      </c>
      <c r="AY175" s="42">
        <f t="shared" si="314"/>
        <v>0</v>
      </c>
      <c r="AZ175" s="42">
        <f t="shared" si="315"/>
        <v>0</v>
      </c>
      <c r="BA175" s="42">
        <f t="shared" si="316"/>
        <v>0</v>
      </c>
      <c r="BB175" s="42">
        <f t="shared" si="317"/>
        <v>0</v>
      </c>
      <c r="BC175" s="42">
        <f t="shared" si="318"/>
        <v>0</v>
      </c>
      <c r="BD175" s="42">
        <f t="shared" si="319"/>
        <v>0</v>
      </c>
      <c r="BE175" s="42">
        <f t="shared" si="320"/>
        <v>0</v>
      </c>
      <c r="BF175" s="42">
        <f t="shared" si="321"/>
        <v>0</v>
      </c>
      <c r="BG175" s="42">
        <f t="shared" si="322"/>
        <v>0</v>
      </c>
      <c r="BH175" s="42">
        <f t="shared" si="323"/>
        <v>0</v>
      </c>
      <c r="BI175" s="42">
        <f t="shared" si="324"/>
        <v>0</v>
      </c>
    </row>
    <row r="176" spans="1:61" ht="15.75" thickBot="1" x14ac:dyDescent="0.3">
      <c r="A176" s="477"/>
      <c r="B176" s="23" t="s">
        <v>224</v>
      </c>
      <c r="C176" s="24" t="str">
        <f t="shared" si="348"/>
        <v>3/4</v>
      </c>
      <c r="D176" s="24" t="str">
        <f>IF(IF((COUNTIF(Professional_Skill_Options,'Skill Workbook'!F176)&gt;0),INDEX(Professional_Skill_Choices,MATCH(F176,Professional_Skill_Options,0)),FALSE),"X","")</f>
        <v/>
      </c>
      <c r="E176" s="24" t="str">
        <f>IF(IF((COUNTIF(Professional_Skill_Options,'Skill Workbook'!F176)&gt;0),INDEX(Professional_Skill_Knacks,MATCH(F176,Professional_Skill_Options,0)),FALSE),"X","")</f>
        <v/>
      </c>
      <c r="F176" s="45" t="s">
        <v>227</v>
      </c>
      <c r="G176" s="200"/>
      <c r="H176" s="201"/>
      <c r="I176" s="24" t="s">
        <v>228</v>
      </c>
      <c r="J176" s="1">
        <f>'Base Details'!J162</f>
        <v>0</v>
      </c>
      <c r="K176" s="24"/>
      <c r="L176" s="24"/>
      <c r="M176" s="24"/>
      <c r="N176" s="24"/>
      <c r="O176" s="24"/>
      <c r="P176" s="24"/>
      <c r="Q176" s="24"/>
      <c r="R176" s="24"/>
      <c r="S176" s="24"/>
      <c r="T176" s="24"/>
      <c r="U176" s="24"/>
      <c r="V176" s="24"/>
      <c r="W176" s="24"/>
      <c r="X176" s="24"/>
      <c r="Y176" s="24"/>
      <c r="Z176" s="24"/>
      <c r="AA176" s="24"/>
      <c r="AB176" s="24"/>
      <c r="AC176" s="24"/>
      <c r="AD176" s="24"/>
      <c r="AE176" s="24">
        <f>SUM(K176:INDEX(K176:AD176,Level))+J176-IF(H176="",0,1)</f>
        <v>0</v>
      </c>
      <c r="AF176" s="27">
        <f t="shared" si="304"/>
        <v>-25</v>
      </c>
      <c r="AG176" s="27" t="e" cm="1">
        <f t="array" aca="1" ref="AG176" ca="1">IF(I176="NA",0,INDIRECT(LEFT(I176,2))+INDIRECT(MID(I176,4,2))+INDIRECT(RIGHT(I176,2)))</f>
        <v>#N/A</v>
      </c>
      <c r="AH176" s="27">
        <f t="shared" si="276"/>
        <v>0</v>
      </c>
      <c r="AI176" s="27">
        <f t="shared" si="277"/>
        <v>0</v>
      </c>
      <c r="AJ176" s="27"/>
      <c r="AK176" s="27" t="e">
        <f t="shared" ca="1" si="280"/>
        <v>#N/A</v>
      </c>
      <c r="AL176" s="34" t="e">
        <f t="shared" ca="1" si="352"/>
        <v>#N/A</v>
      </c>
      <c r="AP176" s="42">
        <f t="shared" si="305"/>
        <v>0</v>
      </c>
      <c r="AQ176" s="42">
        <f t="shared" si="306"/>
        <v>0</v>
      </c>
      <c r="AR176" s="42">
        <f t="shared" si="307"/>
        <v>0</v>
      </c>
      <c r="AS176" s="42">
        <f t="shared" si="308"/>
        <v>0</v>
      </c>
      <c r="AT176" s="42">
        <f t="shared" si="309"/>
        <v>0</v>
      </c>
      <c r="AU176" s="42">
        <f t="shared" si="310"/>
        <v>0</v>
      </c>
      <c r="AV176" s="42">
        <f t="shared" si="311"/>
        <v>0</v>
      </c>
      <c r="AW176" s="42">
        <f t="shared" si="312"/>
        <v>0</v>
      </c>
      <c r="AX176" s="42">
        <f t="shared" si="313"/>
        <v>0</v>
      </c>
      <c r="AY176" s="42">
        <f t="shared" si="314"/>
        <v>0</v>
      </c>
      <c r="AZ176" s="42">
        <f t="shared" si="315"/>
        <v>0</v>
      </c>
      <c r="BA176" s="42">
        <f t="shared" si="316"/>
        <v>0</v>
      </c>
      <c r="BB176" s="42">
        <f t="shared" si="317"/>
        <v>0</v>
      </c>
      <c r="BC176" s="42">
        <f t="shared" si="318"/>
        <v>0</v>
      </c>
      <c r="BD176" s="42">
        <f t="shared" si="319"/>
        <v>0</v>
      </c>
      <c r="BE176" s="42">
        <f t="shared" si="320"/>
        <v>0</v>
      </c>
      <c r="BF176" s="42">
        <f t="shared" si="321"/>
        <v>0</v>
      </c>
      <c r="BG176" s="42">
        <f t="shared" si="322"/>
        <v>0</v>
      </c>
      <c r="BH176" s="42">
        <f t="shared" si="323"/>
        <v>0</v>
      </c>
      <c r="BI176" s="42">
        <f t="shared" si="324"/>
        <v>0</v>
      </c>
    </row>
    <row r="177" spans="1:61" x14ac:dyDescent="0.25">
      <c r="A177" s="477" t="s">
        <v>392</v>
      </c>
      <c r="B177" s="21" t="s">
        <v>392</v>
      </c>
      <c r="C177" s="1" t="str">
        <f t="shared" ref="C177:C210" si="373">HLOOKUP(F177,Table_Profession_Skills,VLOOKUP(Profession,Table_Profession,2,FALSE)+1,FALSE)</f>
        <v>4/6</v>
      </c>
      <c r="D177" s="1" t="str">
        <f>IF(IF((COUNTIF(Professional_Skill_Options,'Skill Workbook'!F177)&gt;0),INDEX(Professional_Skill_Choices,MATCH(F177,Professional_Skill_Options,0)),FALSE),"X","")</f>
        <v/>
      </c>
      <c r="E177" s="1" t="str">
        <f>IF(IF((COUNTIF(Professional_Skill_Options,'Skill Workbook'!F177)&gt;0),INDEX(Professional_Skill_Knacks,MATCH(F177,Professional_Skill_Options,0)),FALSE),"X","")</f>
        <v/>
      </c>
      <c r="F177" t="s">
        <v>264</v>
      </c>
      <c r="G177" s="194"/>
      <c r="H177" s="195"/>
      <c r="I177" s="1" t="s">
        <v>193</v>
      </c>
      <c r="J177" s="48"/>
      <c r="AE177" s="1">
        <f>SUM(K177:INDEX(K177:AD177,Level))+J177</f>
        <v>0</v>
      </c>
      <c r="AF177" s="26">
        <f>IF(AE177&gt;30,100+AE177,VLOOKUP(AE177,Rank_Bonus,2,FALSE))+IF(F177="Base Spells",5,IF(F177="Open Spells",0,IF(F177="Closed Spells",-5,-10)))</f>
        <v>-20</v>
      </c>
      <c r="AG177" s="26" t="e" cm="1">
        <f t="array" aca="1" ref="AG177" ca="1">IF(I177="NA",0,INDIRECT(LEFT(I177,2))+INDIRECT(MID(I177,4,2))+INDIRECT(RIGHT(I177,2)))</f>
        <v>#N/A</v>
      </c>
      <c r="AH177" s="26">
        <f t="shared" ref="AH177" si="374">IF(D177="X",MIN(30,AE177),0)</f>
        <v>0</v>
      </c>
      <c r="AI177" s="26">
        <f t="shared" ref="AI177" si="375">IF(E177="X",5,0)</f>
        <v>0</v>
      </c>
      <c r="AJ177" s="26"/>
      <c r="AK177" s="26" t="e">
        <f t="shared" ca="1" si="280"/>
        <v>#N/A</v>
      </c>
      <c r="AL177" s="32" t="e">
        <f t="shared" ref="AL177:AL210" ca="1" si="376">ROUND(SUM(AF177:AJ177),0)</f>
        <v>#N/A</v>
      </c>
      <c r="AP177" s="42">
        <f t="shared" ref="AP177:BI177" si="377">_xlfn.NUMBERVALUE(IF(K177=0,0,IF(K177=1,LEFT($C177,FIND("/",$C177)-1),SUM(LEFT($C177,FIND("/",$C177)-1),RIGHT($C177,LEN($C177)-FIND("/",$C177))))))</f>
        <v>0</v>
      </c>
      <c r="AQ177" s="42">
        <f t="shared" si="377"/>
        <v>0</v>
      </c>
      <c r="AR177" s="42">
        <f t="shared" si="377"/>
        <v>0</v>
      </c>
      <c r="AS177" s="42">
        <f t="shared" si="377"/>
        <v>0</v>
      </c>
      <c r="AT177" s="42">
        <f t="shared" si="377"/>
        <v>0</v>
      </c>
      <c r="AU177" s="42">
        <f t="shared" si="377"/>
        <v>0</v>
      </c>
      <c r="AV177" s="42">
        <f t="shared" si="377"/>
        <v>0</v>
      </c>
      <c r="AW177" s="42">
        <f t="shared" si="377"/>
        <v>0</v>
      </c>
      <c r="AX177" s="42">
        <f t="shared" si="377"/>
        <v>0</v>
      </c>
      <c r="AY177" s="42">
        <f t="shared" si="377"/>
        <v>0</v>
      </c>
      <c r="AZ177" s="42">
        <f t="shared" si="377"/>
        <v>0</v>
      </c>
      <c r="BA177" s="42">
        <f t="shared" si="377"/>
        <v>0</v>
      </c>
      <c r="BB177" s="42">
        <f t="shared" si="377"/>
        <v>0</v>
      </c>
      <c r="BC177" s="42">
        <f t="shared" si="377"/>
        <v>0</v>
      </c>
      <c r="BD177" s="42">
        <f t="shared" si="377"/>
        <v>0</v>
      </c>
      <c r="BE177" s="42">
        <f t="shared" si="377"/>
        <v>0</v>
      </c>
      <c r="BF177" s="42">
        <f t="shared" si="377"/>
        <v>0</v>
      </c>
      <c r="BG177" s="42">
        <f t="shared" si="377"/>
        <v>0</v>
      </c>
      <c r="BH177" s="42">
        <f t="shared" si="377"/>
        <v>0</v>
      </c>
      <c r="BI177" s="42">
        <f t="shared" si="377"/>
        <v>0</v>
      </c>
    </row>
    <row r="178" spans="1:61" x14ac:dyDescent="0.25">
      <c r="A178" s="478"/>
      <c r="B178" s="21" t="s">
        <v>392</v>
      </c>
      <c r="C178" s="1" t="str">
        <f t="shared" si="373"/>
        <v>4/6</v>
      </c>
      <c r="D178" s="1" t="str">
        <f>IF(IF((COUNTIF(Professional_Skill_Options,'Skill Workbook'!F178)&gt;0),INDEX(Professional_Skill_Choices,MATCH(F178,Professional_Skill_Options,0)),FALSE),"X","")</f>
        <v/>
      </c>
      <c r="E178" s="1" t="str">
        <f>IF(IF((COUNTIF(Professional_Skill_Options,'Skill Workbook'!F178)&gt;0),INDEX(Professional_Skill_Knacks,MATCH(F178,Professional_Skill_Options,0)),FALSE),"X","")</f>
        <v/>
      </c>
      <c r="F178" t="s">
        <v>264</v>
      </c>
      <c r="G178" s="194"/>
      <c r="H178" s="195"/>
      <c r="I178" s="1" t="s">
        <v>193</v>
      </c>
      <c r="J178" s="48"/>
      <c r="AE178" s="1">
        <f>SUM(K178:INDEX(K178:AD178,Level))+J178</f>
        <v>0</v>
      </c>
      <c r="AF178" s="26">
        <f t="shared" ref="AF178:AF210" si="378">IF(AE178&gt;30,100+AE178,VLOOKUP(AE178,Rank_Bonus,2,FALSE))+IF(F178="Base Spells",5,IF(F178="Open Spells",0,IF(F178="Closed Spells",-5,-10)))</f>
        <v>-20</v>
      </c>
      <c r="AG178" s="26" t="e" cm="1">
        <f t="array" aca="1" ref="AG178" ca="1">IF(I178="NA",0,INDIRECT(LEFT(I178,2))+INDIRECT(MID(I178,4,2))+INDIRECT(RIGHT(I178,2)))</f>
        <v>#N/A</v>
      </c>
      <c r="AH178" s="26">
        <f t="shared" ref="AH178:AH210" si="379">IF(D178="X",MIN(30,AE178),0)</f>
        <v>0</v>
      </c>
      <c r="AI178" s="26">
        <f t="shared" ref="AI178:AI210" si="380">IF(E178="X",5,0)</f>
        <v>0</v>
      </c>
      <c r="AJ178" s="26"/>
      <c r="AK178" s="26" t="e">
        <f t="shared" ca="1" si="280"/>
        <v>#N/A</v>
      </c>
      <c r="AL178" s="32" t="e">
        <f t="shared" ca="1" si="376"/>
        <v>#N/A</v>
      </c>
      <c r="AP178" s="42">
        <f t="shared" ref="AP178:AP210" si="381">_xlfn.NUMBERVALUE(IF(K178=0,0,IF(K178=1,LEFT($C178,FIND("/",$C178)-1),SUM(LEFT($C178,FIND("/",$C178)-1),RIGHT($C178,LEN($C178)-FIND("/",$C178))))))</f>
        <v>0</v>
      </c>
      <c r="AQ178" s="42">
        <f t="shared" ref="AQ178:AQ210" si="382">_xlfn.NUMBERVALUE(IF(L178=0,0,IF(L178=1,LEFT($C178,FIND("/",$C178)-1),SUM(LEFT($C178,FIND("/",$C178)-1),RIGHT($C178,LEN($C178)-FIND("/",$C178))))))</f>
        <v>0</v>
      </c>
      <c r="AR178" s="42">
        <f t="shared" ref="AR178:AR210" si="383">_xlfn.NUMBERVALUE(IF(M178=0,0,IF(M178=1,LEFT($C178,FIND("/",$C178)-1),SUM(LEFT($C178,FIND("/",$C178)-1),RIGHT($C178,LEN($C178)-FIND("/",$C178))))))</f>
        <v>0</v>
      </c>
      <c r="AS178" s="42">
        <f t="shared" ref="AS178:AS210" si="384">_xlfn.NUMBERVALUE(IF(N178=0,0,IF(N178=1,LEFT($C178,FIND("/",$C178)-1),SUM(LEFT($C178,FIND("/",$C178)-1),RIGHT($C178,LEN($C178)-FIND("/",$C178))))))</f>
        <v>0</v>
      </c>
      <c r="AT178" s="42">
        <f t="shared" ref="AT178:AT210" si="385">_xlfn.NUMBERVALUE(IF(O178=0,0,IF(O178=1,LEFT($C178,FIND("/",$C178)-1),SUM(LEFT($C178,FIND("/",$C178)-1),RIGHT($C178,LEN($C178)-FIND("/",$C178))))))</f>
        <v>0</v>
      </c>
      <c r="AU178" s="42">
        <f t="shared" ref="AU178:AU210" si="386">_xlfn.NUMBERVALUE(IF(P178=0,0,IF(P178=1,LEFT($C178,FIND("/",$C178)-1),SUM(LEFT($C178,FIND("/",$C178)-1),RIGHT($C178,LEN($C178)-FIND("/",$C178))))))</f>
        <v>0</v>
      </c>
      <c r="AV178" s="42">
        <f t="shared" ref="AV178:AV210" si="387">_xlfn.NUMBERVALUE(IF(Q178=0,0,IF(Q178=1,LEFT($C178,FIND("/",$C178)-1),SUM(LEFT($C178,FIND("/",$C178)-1),RIGHT($C178,LEN($C178)-FIND("/",$C178))))))</f>
        <v>0</v>
      </c>
      <c r="AW178" s="42">
        <f t="shared" ref="AW178:AW210" si="388">_xlfn.NUMBERVALUE(IF(R178=0,0,IF(R178=1,LEFT($C178,FIND("/",$C178)-1),SUM(LEFT($C178,FIND("/",$C178)-1),RIGHT($C178,LEN($C178)-FIND("/",$C178))))))</f>
        <v>0</v>
      </c>
      <c r="AX178" s="42">
        <f t="shared" ref="AX178:AX210" si="389">_xlfn.NUMBERVALUE(IF(S178=0,0,IF(S178=1,LEFT($C178,FIND("/",$C178)-1),SUM(LEFT($C178,FIND("/",$C178)-1),RIGHT($C178,LEN($C178)-FIND("/",$C178))))))</f>
        <v>0</v>
      </c>
      <c r="AY178" s="42">
        <f t="shared" ref="AY178:AY210" si="390">_xlfn.NUMBERVALUE(IF(T178=0,0,IF(T178=1,LEFT($C178,FIND("/",$C178)-1),SUM(LEFT($C178,FIND("/",$C178)-1),RIGHT($C178,LEN($C178)-FIND("/",$C178))))))</f>
        <v>0</v>
      </c>
      <c r="AZ178" s="42">
        <f t="shared" ref="AZ178:AZ210" si="391">_xlfn.NUMBERVALUE(IF(U178=0,0,IF(U178=1,LEFT($C178,FIND("/",$C178)-1),SUM(LEFT($C178,FIND("/",$C178)-1),RIGHT($C178,LEN($C178)-FIND("/",$C178))))))</f>
        <v>0</v>
      </c>
      <c r="BA178" s="42">
        <f t="shared" ref="BA178:BA210" si="392">_xlfn.NUMBERVALUE(IF(V178=0,0,IF(V178=1,LEFT($C178,FIND("/",$C178)-1),SUM(LEFT($C178,FIND("/",$C178)-1),RIGHT($C178,LEN($C178)-FIND("/",$C178))))))</f>
        <v>0</v>
      </c>
      <c r="BB178" s="42">
        <f t="shared" ref="BB178:BB210" si="393">_xlfn.NUMBERVALUE(IF(W178=0,0,IF(W178=1,LEFT($C178,FIND("/",$C178)-1),SUM(LEFT($C178,FIND("/",$C178)-1),RIGHT($C178,LEN($C178)-FIND("/",$C178))))))</f>
        <v>0</v>
      </c>
      <c r="BC178" s="42">
        <f t="shared" ref="BC178:BC210" si="394">_xlfn.NUMBERVALUE(IF(X178=0,0,IF(X178=1,LEFT($C178,FIND("/",$C178)-1),SUM(LEFT($C178,FIND("/",$C178)-1),RIGHT($C178,LEN($C178)-FIND("/",$C178))))))</f>
        <v>0</v>
      </c>
      <c r="BD178" s="42">
        <f t="shared" ref="BD178:BD210" si="395">_xlfn.NUMBERVALUE(IF(Y178=0,0,IF(Y178=1,LEFT($C178,FIND("/",$C178)-1),SUM(LEFT($C178,FIND("/",$C178)-1),RIGHT($C178,LEN($C178)-FIND("/",$C178))))))</f>
        <v>0</v>
      </c>
      <c r="BE178" s="42">
        <f t="shared" ref="BE178:BE210" si="396">_xlfn.NUMBERVALUE(IF(Z178=0,0,IF(Z178=1,LEFT($C178,FIND("/",$C178)-1),SUM(LEFT($C178,FIND("/",$C178)-1),RIGHT($C178,LEN($C178)-FIND("/",$C178))))))</f>
        <v>0</v>
      </c>
      <c r="BF178" s="42">
        <f t="shared" ref="BF178:BF210" si="397">_xlfn.NUMBERVALUE(IF(AA178=0,0,IF(AA178=1,LEFT($C178,FIND("/",$C178)-1),SUM(LEFT($C178,FIND("/",$C178)-1),RIGHT($C178,LEN($C178)-FIND("/",$C178))))))</f>
        <v>0</v>
      </c>
      <c r="BG178" s="42">
        <f t="shared" ref="BG178:BG210" si="398">_xlfn.NUMBERVALUE(IF(AB178=0,0,IF(AB178=1,LEFT($C178,FIND("/",$C178)-1),SUM(LEFT($C178,FIND("/",$C178)-1),RIGHT($C178,LEN($C178)-FIND("/",$C178))))))</f>
        <v>0</v>
      </c>
      <c r="BH178" s="42">
        <f t="shared" ref="BH178:BH210" si="399">_xlfn.NUMBERVALUE(IF(AC178=0,0,IF(AC178=1,LEFT($C178,FIND("/",$C178)-1),SUM(LEFT($C178,FIND("/",$C178)-1),RIGHT($C178,LEN($C178)-FIND("/",$C178))))))</f>
        <v>0</v>
      </c>
      <c r="BI178" s="42">
        <f t="shared" ref="BI178:BI210" si="400">_xlfn.NUMBERVALUE(IF(AD178=0,0,IF(AD178=1,LEFT($C178,FIND("/",$C178)-1),SUM(LEFT($C178,FIND("/",$C178)-1),RIGHT($C178,LEN($C178)-FIND("/",$C178))))))</f>
        <v>0</v>
      </c>
    </row>
    <row r="179" spans="1:61" x14ac:dyDescent="0.25">
      <c r="A179" s="478"/>
      <c r="B179" s="21" t="s">
        <v>392</v>
      </c>
      <c r="C179" s="1" t="str">
        <f t="shared" si="373"/>
        <v>4/6</v>
      </c>
      <c r="D179" s="1" t="str">
        <f>IF(IF((COUNTIF(Professional_Skill_Options,'Skill Workbook'!F179)&gt;0),INDEX(Professional_Skill_Choices,MATCH(F179,Professional_Skill_Options,0)),FALSE),"X","")</f>
        <v/>
      </c>
      <c r="E179" s="1" t="str">
        <f>IF(IF((COUNTIF(Professional_Skill_Options,'Skill Workbook'!F179)&gt;0),INDEX(Professional_Skill_Knacks,MATCH(F179,Professional_Skill_Options,0)),FALSE),"X","")</f>
        <v/>
      </c>
      <c r="F179" t="s">
        <v>264</v>
      </c>
      <c r="G179" s="194"/>
      <c r="H179" s="195"/>
      <c r="I179" s="1" t="s">
        <v>193</v>
      </c>
      <c r="J179" s="48"/>
      <c r="AE179" s="1">
        <f>SUM(K179:INDEX(K179:AD179,Level))+J179</f>
        <v>0</v>
      </c>
      <c r="AF179" s="26">
        <f t="shared" si="378"/>
        <v>-20</v>
      </c>
      <c r="AG179" s="26" t="e" cm="1">
        <f t="array" aca="1" ref="AG179" ca="1">IF(I179="NA",0,INDIRECT(LEFT(I179,2))+INDIRECT(MID(I179,4,2))+INDIRECT(RIGHT(I179,2)))</f>
        <v>#N/A</v>
      </c>
      <c r="AH179" s="26">
        <f t="shared" si="379"/>
        <v>0</v>
      </c>
      <c r="AI179" s="26">
        <f t="shared" si="380"/>
        <v>0</v>
      </c>
      <c r="AJ179" s="26"/>
      <c r="AK179" s="26" t="e">
        <f t="shared" ca="1" si="280"/>
        <v>#N/A</v>
      </c>
      <c r="AL179" s="32" t="e">
        <f t="shared" ca="1" si="376"/>
        <v>#N/A</v>
      </c>
      <c r="AP179" s="42">
        <f t="shared" si="381"/>
        <v>0</v>
      </c>
      <c r="AQ179" s="42">
        <f t="shared" si="382"/>
        <v>0</v>
      </c>
      <c r="AR179" s="42">
        <f t="shared" si="383"/>
        <v>0</v>
      </c>
      <c r="AS179" s="42">
        <f t="shared" si="384"/>
        <v>0</v>
      </c>
      <c r="AT179" s="42">
        <f t="shared" si="385"/>
        <v>0</v>
      </c>
      <c r="AU179" s="42">
        <f t="shared" si="386"/>
        <v>0</v>
      </c>
      <c r="AV179" s="42">
        <f t="shared" si="387"/>
        <v>0</v>
      </c>
      <c r="AW179" s="42">
        <f t="shared" si="388"/>
        <v>0</v>
      </c>
      <c r="AX179" s="42">
        <f t="shared" si="389"/>
        <v>0</v>
      </c>
      <c r="AY179" s="42">
        <f t="shared" si="390"/>
        <v>0</v>
      </c>
      <c r="AZ179" s="42">
        <f t="shared" si="391"/>
        <v>0</v>
      </c>
      <c r="BA179" s="42">
        <f t="shared" si="392"/>
        <v>0</v>
      </c>
      <c r="BB179" s="42">
        <f t="shared" si="393"/>
        <v>0</v>
      </c>
      <c r="BC179" s="42">
        <f t="shared" si="394"/>
        <v>0</v>
      </c>
      <c r="BD179" s="42">
        <f t="shared" si="395"/>
        <v>0</v>
      </c>
      <c r="BE179" s="42">
        <f t="shared" si="396"/>
        <v>0</v>
      </c>
      <c r="BF179" s="42">
        <f t="shared" si="397"/>
        <v>0</v>
      </c>
      <c r="BG179" s="42">
        <f t="shared" si="398"/>
        <v>0</v>
      </c>
      <c r="BH179" s="42">
        <f t="shared" si="399"/>
        <v>0</v>
      </c>
      <c r="BI179" s="42">
        <f t="shared" si="400"/>
        <v>0</v>
      </c>
    </row>
    <row r="180" spans="1:61" x14ac:dyDescent="0.25">
      <c r="A180" s="478"/>
      <c r="B180" s="21" t="s">
        <v>392</v>
      </c>
      <c r="C180" s="1" t="str">
        <f t="shared" si="373"/>
        <v>4/6</v>
      </c>
      <c r="D180" s="1" t="str">
        <f>IF(IF((COUNTIF(Professional_Skill_Options,'Skill Workbook'!F180)&gt;0),INDEX(Professional_Skill_Choices,MATCH(F180,Professional_Skill_Options,0)),FALSE),"X","")</f>
        <v/>
      </c>
      <c r="E180" s="1" t="str">
        <f>IF(IF((COUNTIF(Professional_Skill_Options,'Skill Workbook'!F180)&gt;0),INDEX(Professional_Skill_Knacks,MATCH(F180,Professional_Skill_Options,0)),FALSE),"X","")</f>
        <v/>
      </c>
      <c r="F180" t="s">
        <v>264</v>
      </c>
      <c r="G180" s="194"/>
      <c r="H180" s="195"/>
      <c r="I180" s="1" t="s">
        <v>193</v>
      </c>
      <c r="J180" s="48"/>
      <c r="AE180" s="1">
        <f>SUM(K180:INDEX(K180:AD180,Level))+J180</f>
        <v>0</v>
      </c>
      <c r="AF180" s="26">
        <f t="shared" si="378"/>
        <v>-20</v>
      </c>
      <c r="AG180" s="26" t="e" cm="1">
        <f t="array" aca="1" ref="AG180" ca="1">IF(I180="NA",0,INDIRECT(LEFT(I180,2))+INDIRECT(MID(I180,4,2))+INDIRECT(RIGHT(I180,2)))</f>
        <v>#N/A</v>
      </c>
      <c r="AH180" s="26">
        <f t="shared" si="379"/>
        <v>0</v>
      </c>
      <c r="AI180" s="26">
        <f t="shared" si="380"/>
        <v>0</v>
      </c>
      <c r="AJ180" s="26"/>
      <c r="AK180" s="26" t="e">
        <f t="shared" ca="1" si="280"/>
        <v>#N/A</v>
      </c>
      <c r="AL180" s="32" t="e">
        <f t="shared" ca="1" si="376"/>
        <v>#N/A</v>
      </c>
      <c r="AP180" s="42">
        <f t="shared" si="381"/>
        <v>0</v>
      </c>
      <c r="AQ180" s="42">
        <f t="shared" si="382"/>
        <v>0</v>
      </c>
      <c r="AR180" s="42">
        <f t="shared" si="383"/>
        <v>0</v>
      </c>
      <c r="AS180" s="42">
        <f t="shared" si="384"/>
        <v>0</v>
      </c>
      <c r="AT180" s="42">
        <f t="shared" si="385"/>
        <v>0</v>
      </c>
      <c r="AU180" s="42">
        <f t="shared" si="386"/>
        <v>0</v>
      </c>
      <c r="AV180" s="42">
        <f t="shared" si="387"/>
        <v>0</v>
      </c>
      <c r="AW180" s="42">
        <f t="shared" si="388"/>
        <v>0</v>
      </c>
      <c r="AX180" s="42">
        <f t="shared" si="389"/>
        <v>0</v>
      </c>
      <c r="AY180" s="42">
        <f t="shared" si="390"/>
        <v>0</v>
      </c>
      <c r="AZ180" s="42">
        <f t="shared" si="391"/>
        <v>0</v>
      </c>
      <c r="BA180" s="42">
        <f t="shared" si="392"/>
        <v>0</v>
      </c>
      <c r="BB180" s="42">
        <f t="shared" si="393"/>
        <v>0</v>
      </c>
      <c r="BC180" s="42">
        <f t="shared" si="394"/>
        <v>0</v>
      </c>
      <c r="BD180" s="42">
        <f t="shared" si="395"/>
        <v>0</v>
      </c>
      <c r="BE180" s="42">
        <f t="shared" si="396"/>
        <v>0</v>
      </c>
      <c r="BF180" s="42">
        <f t="shared" si="397"/>
        <v>0</v>
      </c>
      <c r="BG180" s="42">
        <f t="shared" si="398"/>
        <v>0</v>
      </c>
      <c r="BH180" s="42">
        <f t="shared" si="399"/>
        <v>0</v>
      </c>
      <c r="BI180" s="42">
        <f t="shared" si="400"/>
        <v>0</v>
      </c>
    </row>
    <row r="181" spans="1:61" x14ac:dyDescent="0.25">
      <c r="A181" s="478"/>
      <c r="B181" s="21" t="s">
        <v>392</v>
      </c>
      <c r="C181" s="1" t="str">
        <f t="shared" si="373"/>
        <v>4/6</v>
      </c>
      <c r="D181" s="1" t="str">
        <f>IF(IF((COUNTIF(Professional_Skill_Options,'Skill Workbook'!F181)&gt;0),INDEX(Professional_Skill_Choices,MATCH(F181,Professional_Skill_Options,0)),FALSE),"X","")</f>
        <v/>
      </c>
      <c r="E181" s="1" t="str">
        <f>IF(IF((COUNTIF(Professional_Skill_Options,'Skill Workbook'!F181)&gt;0),INDEX(Professional_Skill_Knacks,MATCH(F181,Professional_Skill_Options,0)),FALSE),"X","")</f>
        <v/>
      </c>
      <c r="F181" t="s">
        <v>264</v>
      </c>
      <c r="G181" s="194"/>
      <c r="H181" s="195"/>
      <c r="I181" s="1" t="s">
        <v>193</v>
      </c>
      <c r="J181" s="48"/>
      <c r="AE181" s="1">
        <f>SUM(K181:INDEX(K181:AD181,Level))+J181</f>
        <v>0</v>
      </c>
      <c r="AF181" s="26">
        <f t="shared" si="378"/>
        <v>-20</v>
      </c>
      <c r="AG181" s="26" t="e" cm="1">
        <f t="array" aca="1" ref="AG181" ca="1">IF(I181="NA",0,INDIRECT(LEFT(I181,2))+INDIRECT(MID(I181,4,2))+INDIRECT(RIGHT(I181,2)))</f>
        <v>#N/A</v>
      </c>
      <c r="AH181" s="26">
        <f t="shared" si="379"/>
        <v>0</v>
      </c>
      <c r="AI181" s="26">
        <f t="shared" si="380"/>
        <v>0</v>
      </c>
      <c r="AJ181" s="26"/>
      <c r="AK181" s="26" t="e">
        <f t="shared" ca="1" si="280"/>
        <v>#N/A</v>
      </c>
      <c r="AL181" s="32" t="e">
        <f t="shared" ca="1" si="376"/>
        <v>#N/A</v>
      </c>
      <c r="AP181" s="42">
        <f t="shared" si="381"/>
        <v>0</v>
      </c>
      <c r="AQ181" s="42">
        <f t="shared" si="382"/>
        <v>0</v>
      </c>
      <c r="AR181" s="42">
        <f t="shared" si="383"/>
        <v>0</v>
      </c>
      <c r="AS181" s="42">
        <f t="shared" si="384"/>
        <v>0</v>
      </c>
      <c r="AT181" s="42">
        <f t="shared" si="385"/>
        <v>0</v>
      </c>
      <c r="AU181" s="42">
        <f t="shared" si="386"/>
        <v>0</v>
      </c>
      <c r="AV181" s="42">
        <f t="shared" si="387"/>
        <v>0</v>
      </c>
      <c r="AW181" s="42">
        <f t="shared" si="388"/>
        <v>0</v>
      </c>
      <c r="AX181" s="42">
        <f t="shared" si="389"/>
        <v>0</v>
      </c>
      <c r="AY181" s="42">
        <f t="shared" si="390"/>
        <v>0</v>
      </c>
      <c r="AZ181" s="42">
        <f t="shared" si="391"/>
        <v>0</v>
      </c>
      <c r="BA181" s="42">
        <f t="shared" si="392"/>
        <v>0</v>
      </c>
      <c r="BB181" s="42">
        <f t="shared" si="393"/>
        <v>0</v>
      </c>
      <c r="BC181" s="42">
        <f t="shared" si="394"/>
        <v>0</v>
      </c>
      <c r="BD181" s="42">
        <f t="shared" si="395"/>
        <v>0</v>
      </c>
      <c r="BE181" s="42">
        <f t="shared" si="396"/>
        <v>0</v>
      </c>
      <c r="BF181" s="42">
        <f t="shared" si="397"/>
        <v>0</v>
      </c>
      <c r="BG181" s="42">
        <f t="shared" si="398"/>
        <v>0</v>
      </c>
      <c r="BH181" s="42">
        <f t="shared" si="399"/>
        <v>0</v>
      </c>
      <c r="BI181" s="42">
        <f t="shared" si="400"/>
        <v>0</v>
      </c>
    </row>
    <row r="182" spans="1:61" x14ac:dyDescent="0.25">
      <c r="A182" s="478"/>
      <c r="B182" s="21" t="s">
        <v>392</v>
      </c>
      <c r="C182" s="1" t="str">
        <f t="shared" si="373"/>
        <v>4/6</v>
      </c>
      <c r="D182" s="1" t="str">
        <f>IF(IF((COUNTIF(Professional_Skill_Options,'Skill Workbook'!F182)&gt;0),INDEX(Professional_Skill_Choices,MATCH(F182,Professional_Skill_Options,0)),FALSE),"X","")</f>
        <v/>
      </c>
      <c r="E182" s="1" t="str">
        <f>IF(IF((COUNTIF(Professional_Skill_Options,'Skill Workbook'!F182)&gt;0),INDEX(Professional_Skill_Knacks,MATCH(F182,Professional_Skill_Options,0)),FALSE),"X","")</f>
        <v/>
      </c>
      <c r="F182" t="s">
        <v>264</v>
      </c>
      <c r="G182" s="194"/>
      <c r="H182" s="195"/>
      <c r="I182" s="1" t="s">
        <v>193</v>
      </c>
      <c r="J182" s="48"/>
      <c r="AE182" s="1">
        <f>SUM(K182:INDEX(K182:AD182,Level))+J182</f>
        <v>0</v>
      </c>
      <c r="AF182" s="26">
        <f t="shared" si="378"/>
        <v>-20</v>
      </c>
      <c r="AG182" s="26" t="e" cm="1">
        <f t="array" aca="1" ref="AG182" ca="1">IF(I182="NA",0,INDIRECT(LEFT(I182,2))+INDIRECT(MID(I182,4,2))+INDIRECT(RIGHT(I182,2)))</f>
        <v>#N/A</v>
      </c>
      <c r="AH182" s="26">
        <f t="shared" si="379"/>
        <v>0</v>
      </c>
      <c r="AI182" s="26">
        <f t="shared" si="380"/>
        <v>0</v>
      </c>
      <c r="AJ182" s="26"/>
      <c r="AK182" s="26" t="e">
        <f t="shared" ca="1" si="280"/>
        <v>#N/A</v>
      </c>
      <c r="AL182" s="32" t="e">
        <f t="shared" ca="1" si="376"/>
        <v>#N/A</v>
      </c>
      <c r="AP182" s="42">
        <f t="shared" si="381"/>
        <v>0</v>
      </c>
      <c r="AQ182" s="42">
        <f t="shared" si="382"/>
        <v>0</v>
      </c>
      <c r="AR182" s="42">
        <f t="shared" si="383"/>
        <v>0</v>
      </c>
      <c r="AS182" s="42">
        <f t="shared" si="384"/>
        <v>0</v>
      </c>
      <c r="AT182" s="42">
        <f t="shared" si="385"/>
        <v>0</v>
      </c>
      <c r="AU182" s="42">
        <f t="shared" si="386"/>
        <v>0</v>
      </c>
      <c r="AV182" s="42">
        <f t="shared" si="387"/>
        <v>0</v>
      </c>
      <c r="AW182" s="42">
        <f t="shared" si="388"/>
        <v>0</v>
      </c>
      <c r="AX182" s="42">
        <f t="shared" si="389"/>
        <v>0</v>
      </c>
      <c r="AY182" s="42">
        <f t="shared" si="390"/>
        <v>0</v>
      </c>
      <c r="AZ182" s="42">
        <f t="shared" si="391"/>
        <v>0</v>
      </c>
      <c r="BA182" s="42">
        <f t="shared" si="392"/>
        <v>0</v>
      </c>
      <c r="BB182" s="42">
        <f t="shared" si="393"/>
        <v>0</v>
      </c>
      <c r="BC182" s="42">
        <f t="shared" si="394"/>
        <v>0</v>
      </c>
      <c r="BD182" s="42">
        <f t="shared" si="395"/>
        <v>0</v>
      </c>
      <c r="BE182" s="42">
        <f t="shared" si="396"/>
        <v>0</v>
      </c>
      <c r="BF182" s="42">
        <f t="shared" si="397"/>
        <v>0</v>
      </c>
      <c r="BG182" s="42">
        <f t="shared" si="398"/>
        <v>0</v>
      </c>
      <c r="BH182" s="42">
        <f t="shared" si="399"/>
        <v>0</v>
      </c>
      <c r="BI182" s="42">
        <f t="shared" si="400"/>
        <v>0</v>
      </c>
    </row>
    <row r="183" spans="1:61" x14ac:dyDescent="0.25">
      <c r="A183" s="478"/>
      <c r="B183" s="21" t="s">
        <v>392</v>
      </c>
      <c r="C183" s="1" t="str">
        <f t="shared" si="373"/>
        <v>4/6</v>
      </c>
      <c r="D183" s="1" t="str">
        <f>IF(IF((COUNTIF(Professional_Skill_Options,'Skill Workbook'!F183)&gt;0),INDEX(Professional_Skill_Choices,MATCH(F183,Professional_Skill_Options,0)),FALSE),"X","")</f>
        <v/>
      </c>
      <c r="E183" s="1" t="str">
        <f>IF(IF((COUNTIF(Professional_Skill_Options,'Skill Workbook'!F183)&gt;0),INDEX(Professional_Skill_Knacks,MATCH(F183,Professional_Skill_Options,0)),FALSE),"X","")</f>
        <v/>
      </c>
      <c r="F183" t="s">
        <v>265</v>
      </c>
      <c r="G183" s="194"/>
      <c r="H183" s="195"/>
      <c r="I183" s="1" t="s">
        <v>193</v>
      </c>
      <c r="J183" s="48"/>
      <c r="AE183" s="1">
        <f>SUM(K183:INDEX(K183:AD183,Level))+J183</f>
        <v>0</v>
      </c>
      <c r="AF183" s="26">
        <f t="shared" si="378"/>
        <v>-25</v>
      </c>
      <c r="AG183" s="26" t="e" cm="1">
        <f t="array" aca="1" ref="AG183" ca="1">IF(I183="NA",0,INDIRECT(LEFT(I183,2))+INDIRECT(MID(I183,4,2))+INDIRECT(RIGHT(I183,2)))</f>
        <v>#N/A</v>
      </c>
      <c r="AH183" s="26">
        <f t="shared" si="379"/>
        <v>0</v>
      </c>
      <c r="AI183" s="26">
        <f t="shared" si="380"/>
        <v>0</v>
      </c>
      <c r="AJ183" s="26"/>
      <c r="AK183" s="26" t="e">
        <f t="shared" ca="1" si="280"/>
        <v>#N/A</v>
      </c>
      <c r="AL183" s="32" t="e">
        <f t="shared" ca="1" si="376"/>
        <v>#N/A</v>
      </c>
      <c r="AP183" s="42">
        <f t="shared" si="381"/>
        <v>0</v>
      </c>
      <c r="AQ183" s="42">
        <f t="shared" si="382"/>
        <v>0</v>
      </c>
      <c r="AR183" s="42">
        <f t="shared" si="383"/>
        <v>0</v>
      </c>
      <c r="AS183" s="42">
        <f t="shared" si="384"/>
        <v>0</v>
      </c>
      <c r="AT183" s="42">
        <f t="shared" si="385"/>
        <v>0</v>
      </c>
      <c r="AU183" s="42">
        <f t="shared" si="386"/>
        <v>0</v>
      </c>
      <c r="AV183" s="42">
        <f t="shared" si="387"/>
        <v>0</v>
      </c>
      <c r="AW183" s="42">
        <f t="shared" si="388"/>
        <v>0</v>
      </c>
      <c r="AX183" s="42">
        <f t="shared" si="389"/>
        <v>0</v>
      </c>
      <c r="AY183" s="42">
        <f t="shared" si="390"/>
        <v>0</v>
      </c>
      <c r="AZ183" s="42">
        <f t="shared" si="391"/>
        <v>0</v>
      </c>
      <c r="BA183" s="42">
        <f t="shared" si="392"/>
        <v>0</v>
      </c>
      <c r="BB183" s="42">
        <f t="shared" si="393"/>
        <v>0</v>
      </c>
      <c r="BC183" s="42">
        <f t="shared" si="394"/>
        <v>0</v>
      </c>
      <c r="BD183" s="42">
        <f t="shared" si="395"/>
        <v>0</v>
      </c>
      <c r="BE183" s="42">
        <f t="shared" si="396"/>
        <v>0</v>
      </c>
      <c r="BF183" s="42">
        <f t="shared" si="397"/>
        <v>0</v>
      </c>
      <c r="BG183" s="42">
        <f t="shared" si="398"/>
        <v>0</v>
      </c>
      <c r="BH183" s="42">
        <f t="shared" si="399"/>
        <v>0</v>
      </c>
      <c r="BI183" s="42">
        <f t="shared" si="400"/>
        <v>0</v>
      </c>
    </row>
    <row r="184" spans="1:61" x14ac:dyDescent="0.25">
      <c r="A184" s="478"/>
      <c r="B184" s="21" t="s">
        <v>392</v>
      </c>
      <c r="C184" s="1" t="str">
        <f t="shared" si="373"/>
        <v>4/6</v>
      </c>
      <c r="D184" s="1" t="str">
        <f>IF(IF((COUNTIF(Professional_Skill_Options,'Skill Workbook'!F184)&gt;0),INDEX(Professional_Skill_Choices,MATCH(F184,Professional_Skill_Options,0)),FALSE),"X","")</f>
        <v/>
      </c>
      <c r="E184" s="1" t="str">
        <f>IF(IF((COUNTIF(Professional_Skill_Options,'Skill Workbook'!F184)&gt;0),INDEX(Professional_Skill_Knacks,MATCH(F184,Professional_Skill_Options,0)),FALSE),"X","")</f>
        <v/>
      </c>
      <c r="F184" t="s">
        <v>265</v>
      </c>
      <c r="G184" s="194"/>
      <c r="H184" s="195"/>
      <c r="I184" s="1" t="s">
        <v>193</v>
      </c>
      <c r="J184" s="48"/>
      <c r="AE184" s="1">
        <f>SUM(K184:INDEX(K184:AD184,Level))+J184</f>
        <v>0</v>
      </c>
      <c r="AF184" s="26">
        <f t="shared" si="378"/>
        <v>-25</v>
      </c>
      <c r="AG184" s="26" t="e" cm="1">
        <f t="array" aca="1" ref="AG184" ca="1">IF(I184="NA",0,INDIRECT(LEFT(I184,2))+INDIRECT(MID(I184,4,2))+INDIRECT(RIGHT(I184,2)))</f>
        <v>#N/A</v>
      </c>
      <c r="AH184" s="26">
        <f t="shared" si="379"/>
        <v>0</v>
      </c>
      <c r="AI184" s="26">
        <f t="shared" si="380"/>
        <v>0</v>
      </c>
      <c r="AJ184" s="26"/>
      <c r="AK184" s="26" t="e">
        <f t="shared" ca="1" si="280"/>
        <v>#N/A</v>
      </c>
      <c r="AL184" s="32" t="e">
        <f t="shared" ca="1" si="376"/>
        <v>#N/A</v>
      </c>
      <c r="AP184" s="42">
        <f t="shared" si="381"/>
        <v>0</v>
      </c>
      <c r="AQ184" s="42">
        <f t="shared" si="382"/>
        <v>0</v>
      </c>
      <c r="AR184" s="42">
        <f t="shared" si="383"/>
        <v>0</v>
      </c>
      <c r="AS184" s="42">
        <f t="shared" si="384"/>
        <v>0</v>
      </c>
      <c r="AT184" s="42">
        <f t="shared" si="385"/>
        <v>0</v>
      </c>
      <c r="AU184" s="42">
        <f t="shared" si="386"/>
        <v>0</v>
      </c>
      <c r="AV184" s="42">
        <f t="shared" si="387"/>
        <v>0</v>
      </c>
      <c r="AW184" s="42">
        <f t="shared" si="388"/>
        <v>0</v>
      </c>
      <c r="AX184" s="42">
        <f t="shared" si="389"/>
        <v>0</v>
      </c>
      <c r="AY184" s="42">
        <f t="shared" si="390"/>
        <v>0</v>
      </c>
      <c r="AZ184" s="42">
        <f t="shared" si="391"/>
        <v>0</v>
      </c>
      <c r="BA184" s="42">
        <f t="shared" si="392"/>
        <v>0</v>
      </c>
      <c r="BB184" s="42">
        <f t="shared" si="393"/>
        <v>0</v>
      </c>
      <c r="BC184" s="42">
        <f t="shared" si="394"/>
        <v>0</v>
      </c>
      <c r="BD184" s="42">
        <f t="shared" si="395"/>
        <v>0</v>
      </c>
      <c r="BE184" s="42">
        <f t="shared" si="396"/>
        <v>0</v>
      </c>
      <c r="BF184" s="42">
        <f t="shared" si="397"/>
        <v>0</v>
      </c>
      <c r="BG184" s="42">
        <f t="shared" si="398"/>
        <v>0</v>
      </c>
      <c r="BH184" s="42">
        <f t="shared" si="399"/>
        <v>0</v>
      </c>
      <c r="BI184" s="42">
        <f t="shared" si="400"/>
        <v>0</v>
      </c>
    </row>
    <row r="185" spans="1:61" x14ac:dyDescent="0.25">
      <c r="A185" s="478"/>
      <c r="B185" s="21" t="s">
        <v>392</v>
      </c>
      <c r="C185" s="1" t="str">
        <f t="shared" si="373"/>
        <v>4/6</v>
      </c>
      <c r="D185" s="1" t="str">
        <f>IF(IF((COUNTIF(Professional_Skill_Options,'Skill Workbook'!F185)&gt;0),INDEX(Professional_Skill_Choices,MATCH(F185,Professional_Skill_Options,0)),FALSE),"X","")</f>
        <v/>
      </c>
      <c r="E185" s="1" t="str">
        <f>IF(IF((COUNTIF(Professional_Skill_Options,'Skill Workbook'!F185)&gt;0),INDEX(Professional_Skill_Knacks,MATCH(F185,Professional_Skill_Options,0)),FALSE),"X","")</f>
        <v/>
      </c>
      <c r="F185" t="s">
        <v>265</v>
      </c>
      <c r="G185" s="194"/>
      <c r="H185" s="195"/>
      <c r="I185" s="1" t="s">
        <v>193</v>
      </c>
      <c r="J185" s="48"/>
      <c r="AE185" s="1">
        <f>SUM(K185:INDEX(K185:AD185,Level))+J185</f>
        <v>0</v>
      </c>
      <c r="AF185" s="26">
        <f t="shared" si="378"/>
        <v>-25</v>
      </c>
      <c r="AG185" s="26" t="e" cm="1">
        <f t="array" aca="1" ref="AG185" ca="1">IF(I185="NA",0,INDIRECT(LEFT(I185,2))+INDIRECT(MID(I185,4,2))+INDIRECT(RIGHT(I185,2)))</f>
        <v>#N/A</v>
      </c>
      <c r="AH185" s="26">
        <f t="shared" si="379"/>
        <v>0</v>
      </c>
      <c r="AI185" s="26">
        <f t="shared" si="380"/>
        <v>0</v>
      </c>
      <c r="AJ185" s="26"/>
      <c r="AK185" s="26" t="e">
        <f t="shared" ca="1" si="280"/>
        <v>#N/A</v>
      </c>
      <c r="AL185" s="32" t="e">
        <f t="shared" ca="1" si="376"/>
        <v>#N/A</v>
      </c>
      <c r="AP185" s="42">
        <f t="shared" si="381"/>
        <v>0</v>
      </c>
      <c r="AQ185" s="42">
        <f t="shared" si="382"/>
        <v>0</v>
      </c>
      <c r="AR185" s="42">
        <f t="shared" si="383"/>
        <v>0</v>
      </c>
      <c r="AS185" s="42">
        <f t="shared" si="384"/>
        <v>0</v>
      </c>
      <c r="AT185" s="42">
        <f t="shared" si="385"/>
        <v>0</v>
      </c>
      <c r="AU185" s="42">
        <f t="shared" si="386"/>
        <v>0</v>
      </c>
      <c r="AV185" s="42">
        <f t="shared" si="387"/>
        <v>0</v>
      </c>
      <c r="AW185" s="42">
        <f t="shared" si="388"/>
        <v>0</v>
      </c>
      <c r="AX185" s="42">
        <f t="shared" si="389"/>
        <v>0</v>
      </c>
      <c r="AY185" s="42">
        <f t="shared" si="390"/>
        <v>0</v>
      </c>
      <c r="AZ185" s="42">
        <f t="shared" si="391"/>
        <v>0</v>
      </c>
      <c r="BA185" s="42">
        <f t="shared" si="392"/>
        <v>0</v>
      </c>
      <c r="BB185" s="42">
        <f t="shared" si="393"/>
        <v>0</v>
      </c>
      <c r="BC185" s="42">
        <f t="shared" si="394"/>
        <v>0</v>
      </c>
      <c r="BD185" s="42">
        <f t="shared" si="395"/>
        <v>0</v>
      </c>
      <c r="BE185" s="42">
        <f t="shared" si="396"/>
        <v>0</v>
      </c>
      <c r="BF185" s="42">
        <f t="shared" si="397"/>
        <v>0</v>
      </c>
      <c r="BG185" s="42">
        <f t="shared" si="398"/>
        <v>0</v>
      </c>
      <c r="BH185" s="42">
        <f t="shared" si="399"/>
        <v>0</v>
      </c>
      <c r="BI185" s="42">
        <f t="shared" si="400"/>
        <v>0</v>
      </c>
    </row>
    <row r="186" spans="1:61" x14ac:dyDescent="0.25">
      <c r="A186" s="478"/>
      <c r="B186" s="21" t="s">
        <v>392</v>
      </c>
      <c r="C186" s="1" t="str">
        <f t="shared" si="373"/>
        <v>4/6</v>
      </c>
      <c r="D186" s="1" t="str">
        <f>IF(IF((COUNTIF(Professional_Skill_Options,'Skill Workbook'!F186)&gt;0),INDEX(Professional_Skill_Choices,MATCH(F186,Professional_Skill_Options,0)),FALSE),"X","")</f>
        <v/>
      </c>
      <c r="E186" s="1" t="str">
        <f>IF(IF((COUNTIF(Professional_Skill_Options,'Skill Workbook'!F186)&gt;0),INDEX(Professional_Skill_Knacks,MATCH(F186,Professional_Skill_Options,0)),FALSE),"X","")</f>
        <v/>
      </c>
      <c r="F186" t="s">
        <v>265</v>
      </c>
      <c r="G186" s="194"/>
      <c r="H186" s="195"/>
      <c r="I186" s="1" t="s">
        <v>193</v>
      </c>
      <c r="J186" s="48"/>
      <c r="AE186" s="1">
        <f>SUM(K186:INDEX(K186:AD186,Level))+J186</f>
        <v>0</v>
      </c>
      <c r="AF186" s="26">
        <f t="shared" si="378"/>
        <v>-25</v>
      </c>
      <c r="AG186" s="26" t="e" cm="1">
        <f t="array" aca="1" ref="AG186" ca="1">IF(I186="NA",0,INDIRECT(LEFT(I186,2))+INDIRECT(MID(I186,4,2))+INDIRECT(RIGHT(I186,2)))</f>
        <v>#N/A</v>
      </c>
      <c r="AH186" s="26">
        <f t="shared" si="379"/>
        <v>0</v>
      </c>
      <c r="AI186" s="26">
        <f t="shared" si="380"/>
        <v>0</v>
      </c>
      <c r="AJ186" s="26"/>
      <c r="AK186" s="26" t="e">
        <f t="shared" ca="1" si="280"/>
        <v>#N/A</v>
      </c>
      <c r="AL186" s="32" t="e">
        <f t="shared" ca="1" si="376"/>
        <v>#N/A</v>
      </c>
      <c r="AP186" s="42">
        <f t="shared" si="381"/>
        <v>0</v>
      </c>
      <c r="AQ186" s="42">
        <f t="shared" si="382"/>
        <v>0</v>
      </c>
      <c r="AR186" s="42">
        <f t="shared" si="383"/>
        <v>0</v>
      </c>
      <c r="AS186" s="42">
        <f t="shared" si="384"/>
        <v>0</v>
      </c>
      <c r="AT186" s="42">
        <f t="shared" si="385"/>
        <v>0</v>
      </c>
      <c r="AU186" s="42">
        <f t="shared" si="386"/>
        <v>0</v>
      </c>
      <c r="AV186" s="42">
        <f t="shared" si="387"/>
        <v>0</v>
      </c>
      <c r="AW186" s="42">
        <f t="shared" si="388"/>
        <v>0</v>
      </c>
      <c r="AX186" s="42">
        <f t="shared" si="389"/>
        <v>0</v>
      </c>
      <c r="AY186" s="42">
        <f t="shared" si="390"/>
        <v>0</v>
      </c>
      <c r="AZ186" s="42">
        <f t="shared" si="391"/>
        <v>0</v>
      </c>
      <c r="BA186" s="42">
        <f t="shared" si="392"/>
        <v>0</v>
      </c>
      <c r="BB186" s="42">
        <f t="shared" si="393"/>
        <v>0</v>
      </c>
      <c r="BC186" s="42">
        <f t="shared" si="394"/>
        <v>0</v>
      </c>
      <c r="BD186" s="42">
        <f t="shared" si="395"/>
        <v>0</v>
      </c>
      <c r="BE186" s="42">
        <f t="shared" si="396"/>
        <v>0</v>
      </c>
      <c r="BF186" s="42">
        <f t="shared" si="397"/>
        <v>0</v>
      </c>
      <c r="BG186" s="42">
        <f t="shared" si="398"/>
        <v>0</v>
      </c>
      <c r="BH186" s="42">
        <f t="shared" si="399"/>
        <v>0</v>
      </c>
      <c r="BI186" s="42">
        <f t="shared" si="400"/>
        <v>0</v>
      </c>
    </row>
    <row r="187" spans="1:61" x14ac:dyDescent="0.25">
      <c r="A187" s="478"/>
      <c r="B187" s="21" t="s">
        <v>392</v>
      </c>
      <c r="C187" s="1" t="str">
        <f t="shared" si="373"/>
        <v>4/6</v>
      </c>
      <c r="D187" s="1" t="str">
        <f>IF(IF((COUNTIF(Professional_Skill_Options,'Skill Workbook'!F187)&gt;0),INDEX(Professional_Skill_Choices,MATCH(F187,Professional_Skill_Options,0)),FALSE),"X","")</f>
        <v/>
      </c>
      <c r="E187" s="1" t="str">
        <f>IF(IF((COUNTIF(Professional_Skill_Options,'Skill Workbook'!F187)&gt;0),INDEX(Professional_Skill_Knacks,MATCH(F187,Professional_Skill_Options,0)),FALSE),"X","")</f>
        <v/>
      </c>
      <c r="F187" t="s">
        <v>265</v>
      </c>
      <c r="G187" s="194"/>
      <c r="H187" s="195"/>
      <c r="I187" s="1" t="s">
        <v>193</v>
      </c>
      <c r="J187" s="48"/>
      <c r="AE187" s="1">
        <f>SUM(K187:INDEX(K187:AD187,Level))+J187</f>
        <v>0</v>
      </c>
      <c r="AF187" s="26">
        <f t="shared" si="378"/>
        <v>-25</v>
      </c>
      <c r="AG187" s="26" t="e" cm="1">
        <f t="array" aca="1" ref="AG187" ca="1">IF(I187="NA",0,INDIRECT(LEFT(I187,2))+INDIRECT(MID(I187,4,2))+INDIRECT(RIGHT(I187,2)))</f>
        <v>#N/A</v>
      </c>
      <c r="AH187" s="26">
        <f t="shared" si="379"/>
        <v>0</v>
      </c>
      <c r="AI187" s="26">
        <f t="shared" si="380"/>
        <v>0</v>
      </c>
      <c r="AJ187" s="26"/>
      <c r="AK187" s="26" t="e">
        <f t="shared" ca="1" si="280"/>
        <v>#N/A</v>
      </c>
      <c r="AL187" s="32" t="e">
        <f t="shared" ca="1" si="376"/>
        <v>#N/A</v>
      </c>
      <c r="AP187" s="42">
        <f t="shared" si="381"/>
        <v>0</v>
      </c>
      <c r="AQ187" s="42">
        <f t="shared" si="382"/>
        <v>0</v>
      </c>
      <c r="AR187" s="42">
        <f t="shared" si="383"/>
        <v>0</v>
      </c>
      <c r="AS187" s="42">
        <f t="shared" si="384"/>
        <v>0</v>
      </c>
      <c r="AT187" s="42">
        <f t="shared" si="385"/>
        <v>0</v>
      </c>
      <c r="AU187" s="42">
        <f t="shared" si="386"/>
        <v>0</v>
      </c>
      <c r="AV187" s="42">
        <f t="shared" si="387"/>
        <v>0</v>
      </c>
      <c r="AW187" s="42">
        <f t="shared" si="388"/>
        <v>0</v>
      </c>
      <c r="AX187" s="42">
        <f t="shared" si="389"/>
        <v>0</v>
      </c>
      <c r="AY187" s="42">
        <f t="shared" si="390"/>
        <v>0</v>
      </c>
      <c r="AZ187" s="42">
        <f t="shared" si="391"/>
        <v>0</v>
      </c>
      <c r="BA187" s="42">
        <f t="shared" si="392"/>
        <v>0</v>
      </c>
      <c r="BB187" s="42">
        <f t="shared" si="393"/>
        <v>0</v>
      </c>
      <c r="BC187" s="42">
        <f t="shared" si="394"/>
        <v>0</v>
      </c>
      <c r="BD187" s="42">
        <f t="shared" si="395"/>
        <v>0</v>
      </c>
      <c r="BE187" s="42">
        <f t="shared" si="396"/>
        <v>0</v>
      </c>
      <c r="BF187" s="42">
        <f t="shared" si="397"/>
        <v>0</v>
      </c>
      <c r="BG187" s="42">
        <f t="shared" si="398"/>
        <v>0</v>
      </c>
      <c r="BH187" s="42">
        <f t="shared" si="399"/>
        <v>0</v>
      </c>
      <c r="BI187" s="42">
        <f t="shared" si="400"/>
        <v>0</v>
      </c>
    </row>
    <row r="188" spans="1:61" x14ac:dyDescent="0.25">
      <c r="A188" s="478"/>
      <c r="B188" s="21" t="s">
        <v>392</v>
      </c>
      <c r="C188" s="1" t="str">
        <f t="shared" si="373"/>
        <v>4/6</v>
      </c>
      <c r="D188" s="1" t="str">
        <f>IF(IF((COUNTIF(Professional_Skill_Options,'Skill Workbook'!F188)&gt;0),INDEX(Professional_Skill_Choices,MATCH(F188,Professional_Skill_Options,0)),FALSE),"X","")</f>
        <v/>
      </c>
      <c r="E188" s="1" t="str">
        <f>IF(IF((COUNTIF(Professional_Skill_Options,'Skill Workbook'!F188)&gt;0),INDEX(Professional_Skill_Knacks,MATCH(F188,Professional_Skill_Options,0)),FALSE),"X","")</f>
        <v/>
      </c>
      <c r="F188" t="s">
        <v>265</v>
      </c>
      <c r="G188" s="194"/>
      <c r="H188" s="195"/>
      <c r="I188" s="1" t="s">
        <v>193</v>
      </c>
      <c r="J188" s="48"/>
      <c r="AE188" s="1">
        <f>SUM(K188:INDEX(K188:AD188,Level))+J188</f>
        <v>0</v>
      </c>
      <c r="AF188" s="26">
        <f t="shared" si="378"/>
        <v>-25</v>
      </c>
      <c r="AG188" s="26" t="e" cm="1">
        <f t="array" aca="1" ref="AG188" ca="1">IF(I188="NA",0,INDIRECT(LEFT(I188,2))+INDIRECT(MID(I188,4,2))+INDIRECT(RIGHT(I188,2)))</f>
        <v>#N/A</v>
      </c>
      <c r="AH188" s="26">
        <f t="shared" si="379"/>
        <v>0</v>
      </c>
      <c r="AI188" s="26">
        <f t="shared" si="380"/>
        <v>0</v>
      </c>
      <c r="AJ188" s="26"/>
      <c r="AK188" s="26" t="e">
        <f t="shared" ca="1" si="280"/>
        <v>#N/A</v>
      </c>
      <c r="AL188" s="32" t="e">
        <f t="shared" ca="1" si="376"/>
        <v>#N/A</v>
      </c>
      <c r="AP188" s="42">
        <f t="shared" si="381"/>
        <v>0</v>
      </c>
      <c r="AQ188" s="42">
        <f t="shared" si="382"/>
        <v>0</v>
      </c>
      <c r="AR188" s="42">
        <f t="shared" si="383"/>
        <v>0</v>
      </c>
      <c r="AS188" s="42">
        <f t="shared" si="384"/>
        <v>0</v>
      </c>
      <c r="AT188" s="42">
        <f t="shared" si="385"/>
        <v>0</v>
      </c>
      <c r="AU188" s="42">
        <f t="shared" si="386"/>
        <v>0</v>
      </c>
      <c r="AV188" s="42">
        <f t="shared" si="387"/>
        <v>0</v>
      </c>
      <c r="AW188" s="42">
        <f t="shared" si="388"/>
        <v>0</v>
      </c>
      <c r="AX188" s="42">
        <f t="shared" si="389"/>
        <v>0</v>
      </c>
      <c r="AY188" s="42">
        <f t="shared" si="390"/>
        <v>0</v>
      </c>
      <c r="AZ188" s="42">
        <f t="shared" si="391"/>
        <v>0</v>
      </c>
      <c r="BA188" s="42">
        <f t="shared" si="392"/>
        <v>0</v>
      </c>
      <c r="BB188" s="42">
        <f t="shared" si="393"/>
        <v>0</v>
      </c>
      <c r="BC188" s="42">
        <f t="shared" si="394"/>
        <v>0</v>
      </c>
      <c r="BD188" s="42">
        <f t="shared" si="395"/>
        <v>0</v>
      </c>
      <c r="BE188" s="42">
        <f t="shared" si="396"/>
        <v>0</v>
      </c>
      <c r="BF188" s="42">
        <f t="shared" si="397"/>
        <v>0</v>
      </c>
      <c r="BG188" s="42">
        <f t="shared" si="398"/>
        <v>0</v>
      </c>
      <c r="BH188" s="42">
        <f t="shared" si="399"/>
        <v>0</v>
      </c>
      <c r="BI188" s="42">
        <f t="shared" si="400"/>
        <v>0</v>
      </c>
    </row>
    <row r="189" spans="1:61" x14ac:dyDescent="0.25">
      <c r="A189" s="478"/>
      <c r="B189" s="21" t="s">
        <v>392</v>
      </c>
      <c r="C189" s="1" t="str">
        <f t="shared" si="373"/>
        <v>4/6</v>
      </c>
      <c r="D189" s="1" t="str">
        <f>IF(IF((COUNTIF(Professional_Skill_Options,'Skill Workbook'!F189)&gt;0),INDEX(Professional_Skill_Choices,MATCH(F189,Professional_Skill_Options,0)),FALSE),"X","")</f>
        <v/>
      </c>
      <c r="E189" s="1" t="str">
        <f>IF(IF((COUNTIF(Professional_Skill_Options,'Skill Workbook'!F189)&gt;0),INDEX(Professional_Skill_Knacks,MATCH(F189,Professional_Skill_Options,0)),FALSE),"X","")</f>
        <v/>
      </c>
      <c r="F189" t="s">
        <v>265</v>
      </c>
      <c r="G189" s="194"/>
      <c r="H189" s="195"/>
      <c r="I189" s="1" t="s">
        <v>193</v>
      </c>
      <c r="J189" s="48"/>
      <c r="AE189" s="1">
        <f>SUM(K189:INDEX(K189:AD189,Level))+J189</f>
        <v>0</v>
      </c>
      <c r="AF189" s="26">
        <f t="shared" si="378"/>
        <v>-25</v>
      </c>
      <c r="AG189" s="26" t="e" cm="1">
        <f t="array" aca="1" ref="AG189" ca="1">IF(I189="NA",0,INDIRECT(LEFT(I189,2))+INDIRECT(MID(I189,4,2))+INDIRECT(RIGHT(I189,2)))</f>
        <v>#N/A</v>
      </c>
      <c r="AH189" s="26">
        <f t="shared" si="379"/>
        <v>0</v>
      </c>
      <c r="AI189" s="26">
        <f t="shared" si="380"/>
        <v>0</v>
      </c>
      <c r="AJ189" s="26"/>
      <c r="AK189" s="26" t="e">
        <f t="shared" ca="1" si="280"/>
        <v>#N/A</v>
      </c>
      <c r="AL189" s="32" t="e">
        <f t="shared" ca="1" si="376"/>
        <v>#N/A</v>
      </c>
      <c r="AP189" s="42">
        <f t="shared" si="381"/>
        <v>0</v>
      </c>
      <c r="AQ189" s="42">
        <f t="shared" si="382"/>
        <v>0</v>
      </c>
      <c r="AR189" s="42">
        <f t="shared" si="383"/>
        <v>0</v>
      </c>
      <c r="AS189" s="42">
        <f t="shared" si="384"/>
        <v>0</v>
      </c>
      <c r="AT189" s="42">
        <f t="shared" si="385"/>
        <v>0</v>
      </c>
      <c r="AU189" s="42">
        <f t="shared" si="386"/>
        <v>0</v>
      </c>
      <c r="AV189" s="42">
        <f t="shared" si="387"/>
        <v>0</v>
      </c>
      <c r="AW189" s="42">
        <f t="shared" si="388"/>
        <v>0</v>
      </c>
      <c r="AX189" s="42">
        <f t="shared" si="389"/>
        <v>0</v>
      </c>
      <c r="AY189" s="42">
        <f t="shared" si="390"/>
        <v>0</v>
      </c>
      <c r="AZ189" s="42">
        <f t="shared" si="391"/>
        <v>0</v>
      </c>
      <c r="BA189" s="42">
        <f t="shared" si="392"/>
        <v>0</v>
      </c>
      <c r="BB189" s="42">
        <f t="shared" si="393"/>
        <v>0</v>
      </c>
      <c r="BC189" s="42">
        <f t="shared" si="394"/>
        <v>0</v>
      </c>
      <c r="BD189" s="42">
        <f t="shared" si="395"/>
        <v>0</v>
      </c>
      <c r="BE189" s="42">
        <f t="shared" si="396"/>
        <v>0</v>
      </c>
      <c r="BF189" s="42">
        <f t="shared" si="397"/>
        <v>0</v>
      </c>
      <c r="BG189" s="42">
        <f t="shared" si="398"/>
        <v>0</v>
      </c>
      <c r="BH189" s="42">
        <f t="shared" si="399"/>
        <v>0</v>
      </c>
      <c r="BI189" s="42">
        <f t="shared" si="400"/>
        <v>0</v>
      </c>
    </row>
    <row r="190" spans="1:61" x14ac:dyDescent="0.25">
      <c r="A190" s="478"/>
      <c r="B190" s="21" t="s">
        <v>392</v>
      </c>
      <c r="C190" s="1" t="str">
        <f t="shared" si="373"/>
        <v>4/6</v>
      </c>
      <c r="D190" s="1" t="str">
        <f>IF(IF((COUNTIF(Professional_Skill_Options,'Skill Workbook'!F190)&gt;0),INDEX(Professional_Skill_Choices,MATCH(F190,Professional_Skill_Options,0)),FALSE),"X","")</f>
        <v/>
      </c>
      <c r="E190" s="1" t="str">
        <f>IF(IF((COUNTIF(Professional_Skill_Options,'Skill Workbook'!F190)&gt;0),INDEX(Professional_Skill_Knacks,MATCH(F190,Professional_Skill_Options,0)),FALSE),"X","")</f>
        <v/>
      </c>
      <c r="F190" t="s">
        <v>265</v>
      </c>
      <c r="G190" s="194"/>
      <c r="H190" s="195"/>
      <c r="I190" s="1" t="s">
        <v>193</v>
      </c>
      <c r="J190" s="48"/>
      <c r="AE190" s="1">
        <f>SUM(K190:INDEX(K190:AD190,Level))+J190</f>
        <v>0</v>
      </c>
      <c r="AF190" s="26">
        <f t="shared" si="378"/>
        <v>-25</v>
      </c>
      <c r="AG190" s="26" t="e" cm="1">
        <f t="array" aca="1" ref="AG190" ca="1">IF(I190="NA",0,INDIRECT(LEFT(I190,2))+INDIRECT(MID(I190,4,2))+INDIRECT(RIGHT(I190,2)))</f>
        <v>#N/A</v>
      </c>
      <c r="AH190" s="26">
        <f t="shared" si="379"/>
        <v>0</v>
      </c>
      <c r="AI190" s="26">
        <f t="shared" si="380"/>
        <v>0</v>
      </c>
      <c r="AJ190" s="26"/>
      <c r="AK190" s="26" t="e">
        <f t="shared" ca="1" si="280"/>
        <v>#N/A</v>
      </c>
      <c r="AL190" s="32" t="e">
        <f t="shared" ca="1" si="376"/>
        <v>#N/A</v>
      </c>
      <c r="AP190" s="42">
        <f t="shared" si="381"/>
        <v>0</v>
      </c>
      <c r="AQ190" s="42">
        <f t="shared" si="382"/>
        <v>0</v>
      </c>
      <c r="AR190" s="42">
        <f t="shared" si="383"/>
        <v>0</v>
      </c>
      <c r="AS190" s="42">
        <f t="shared" si="384"/>
        <v>0</v>
      </c>
      <c r="AT190" s="42">
        <f t="shared" si="385"/>
        <v>0</v>
      </c>
      <c r="AU190" s="42">
        <f t="shared" si="386"/>
        <v>0</v>
      </c>
      <c r="AV190" s="42">
        <f t="shared" si="387"/>
        <v>0</v>
      </c>
      <c r="AW190" s="42">
        <f t="shared" si="388"/>
        <v>0</v>
      </c>
      <c r="AX190" s="42">
        <f t="shared" si="389"/>
        <v>0</v>
      </c>
      <c r="AY190" s="42">
        <f t="shared" si="390"/>
        <v>0</v>
      </c>
      <c r="AZ190" s="42">
        <f t="shared" si="391"/>
        <v>0</v>
      </c>
      <c r="BA190" s="42">
        <f t="shared" si="392"/>
        <v>0</v>
      </c>
      <c r="BB190" s="42">
        <f t="shared" si="393"/>
        <v>0</v>
      </c>
      <c r="BC190" s="42">
        <f t="shared" si="394"/>
        <v>0</v>
      </c>
      <c r="BD190" s="42">
        <f t="shared" si="395"/>
        <v>0</v>
      </c>
      <c r="BE190" s="42">
        <f t="shared" si="396"/>
        <v>0</v>
      </c>
      <c r="BF190" s="42">
        <f t="shared" si="397"/>
        <v>0</v>
      </c>
      <c r="BG190" s="42">
        <f t="shared" si="398"/>
        <v>0</v>
      </c>
      <c r="BH190" s="42">
        <f t="shared" si="399"/>
        <v>0</v>
      </c>
      <c r="BI190" s="42">
        <f t="shared" si="400"/>
        <v>0</v>
      </c>
    </row>
    <row r="191" spans="1:61" x14ac:dyDescent="0.25">
      <c r="A191" s="478"/>
      <c r="B191" s="21" t="s">
        <v>392</v>
      </c>
      <c r="C191" s="1" t="str">
        <f t="shared" si="373"/>
        <v>4/6</v>
      </c>
      <c r="D191" s="1" t="str">
        <f>IF(IF((COUNTIF(Professional_Skill_Options,'Skill Workbook'!F191)&gt;0),INDEX(Professional_Skill_Choices,MATCH(F191,Professional_Skill_Options,0)),FALSE),"X","")</f>
        <v/>
      </c>
      <c r="E191" s="1" t="str">
        <f>IF(IF((COUNTIF(Professional_Skill_Options,'Skill Workbook'!F191)&gt;0),INDEX(Professional_Skill_Knacks,MATCH(F191,Professional_Skill_Options,0)),FALSE),"X","")</f>
        <v/>
      </c>
      <c r="F191" t="s">
        <v>265</v>
      </c>
      <c r="G191" s="194"/>
      <c r="H191" s="195"/>
      <c r="I191" s="1" t="s">
        <v>193</v>
      </c>
      <c r="J191" s="48"/>
      <c r="AE191" s="1">
        <f>SUM(K191:INDEX(K191:AD191,Level))+J191</f>
        <v>0</v>
      </c>
      <c r="AF191" s="26">
        <f t="shared" si="378"/>
        <v>-25</v>
      </c>
      <c r="AG191" s="26" t="e" cm="1">
        <f t="array" aca="1" ref="AG191" ca="1">IF(I191="NA",0,INDIRECT(LEFT(I191,2))+INDIRECT(MID(I191,4,2))+INDIRECT(RIGHT(I191,2)))</f>
        <v>#N/A</v>
      </c>
      <c r="AH191" s="26">
        <f t="shared" si="379"/>
        <v>0</v>
      </c>
      <c r="AI191" s="26">
        <f t="shared" si="380"/>
        <v>0</v>
      </c>
      <c r="AJ191" s="26"/>
      <c r="AK191" s="26" t="e">
        <f t="shared" ca="1" si="280"/>
        <v>#N/A</v>
      </c>
      <c r="AL191" s="32" t="e">
        <f t="shared" ca="1" si="376"/>
        <v>#N/A</v>
      </c>
      <c r="AP191" s="42">
        <f t="shared" si="381"/>
        <v>0</v>
      </c>
      <c r="AQ191" s="42">
        <f t="shared" si="382"/>
        <v>0</v>
      </c>
      <c r="AR191" s="42">
        <f t="shared" si="383"/>
        <v>0</v>
      </c>
      <c r="AS191" s="42">
        <f t="shared" si="384"/>
        <v>0</v>
      </c>
      <c r="AT191" s="42">
        <f t="shared" si="385"/>
        <v>0</v>
      </c>
      <c r="AU191" s="42">
        <f t="shared" si="386"/>
        <v>0</v>
      </c>
      <c r="AV191" s="42">
        <f t="shared" si="387"/>
        <v>0</v>
      </c>
      <c r="AW191" s="42">
        <f t="shared" si="388"/>
        <v>0</v>
      </c>
      <c r="AX191" s="42">
        <f t="shared" si="389"/>
        <v>0</v>
      </c>
      <c r="AY191" s="42">
        <f t="shared" si="390"/>
        <v>0</v>
      </c>
      <c r="AZ191" s="42">
        <f t="shared" si="391"/>
        <v>0</v>
      </c>
      <c r="BA191" s="42">
        <f t="shared" si="392"/>
        <v>0</v>
      </c>
      <c r="BB191" s="42">
        <f t="shared" si="393"/>
        <v>0</v>
      </c>
      <c r="BC191" s="42">
        <f t="shared" si="394"/>
        <v>0</v>
      </c>
      <c r="BD191" s="42">
        <f t="shared" si="395"/>
        <v>0</v>
      </c>
      <c r="BE191" s="42">
        <f t="shared" si="396"/>
        <v>0</v>
      </c>
      <c r="BF191" s="42">
        <f t="shared" si="397"/>
        <v>0</v>
      </c>
      <c r="BG191" s="42">
        <f t="shared" si="398"/>
        <v>0</v>
      </c>
      <c r="BH191" s="42">
        <f t="shared" si="399"/>
        <v>0</v>
      </c>
      <c r="BI191" s="42">
        <f t="shared" si="400"/>
        <v>0</v>
      </c>
    </row>
    <row r="192" spans="1:61" x14ac:dyDescent="0.25">
      <c r="A192" s="478"/>
      <c r="B192" s="21" t="s">
        <v>392</v>
      </c>
      <c r="C192" s="1" t="str">
        <f t="shared" si="373"/>
        <v>4/6</v>
      </c>
      <c r="D192" s="1" t="str">
        <f>IF(IF((COUNTIF(Professional_Skill_Options,'Skill Workbook'!F192)&gt;0),INDEX(Professional_Skill_Choices,MATCH(F192,Professional_Skill_Options,0)),FALSE),"X","")</f>
        <v/>
      </c>
      <c r="E192" s="1" t="str">
        <f>IF(IF((COUNTIF(Professional_Skill_Options,'Skill Workbook'!F192)&gt;0),INDEX(Professional_Skill_Knacks,MATCH(F192,Professional_Skill_Options,0)),FALSE),"X","")</f>
        <v/>
      </c>
      <c r="F192" t="s">
        <v>265</v>
      </c>
      <c r="G192" s="194"/>
      <c r="H192" s="195"/>
      <c r="I192" s="1" t="s">
        <v>193</v>
      </c>
      <c r="J192" s="48"/>
      <c r="AE192" s="1">
        <f>SUM(K192:INDEX(K192:AD192,Level))+J192</f>
        <v>0</v>
      </c>
      <c r="AF192" s="26">
        <f t="shared" si="378"/>
        <v>-25</v>
      </c>
      <c r="AG192" s="26" t="e" cm="1">
        <f t="array" aca="1" ref="AG192" ca="1">IF(I192="NA",0,INDIRECT(LEFT(I192,2))+INDIRECT(MID(I192,4,2))+INDIRECT(RIGHT(I192,2)))</f>
        <v>#N/A</v>
      </c>
      <c r="AH192" s="26">
        <f t="shared" si="379"/>
        <v>0</v>
      </c>
      <c r="AI192" s="26">
        <f t="shared" si="380"/>
        <v>0</v>
      </c>
      <c r="AJ192" s="26"/>
      <c r="AK192" s="26" t="e">
        <f t="shared" ca="1" si="280"/>
        <v>#N/A</v>
      </c>
      <c r="AL192" s="32" t="e">
        <f t="shared" ca="1" si="376"/>
        <v>#N/A</v>
      </c>
      <c r="AP192" s="42">
        <f t="shared" si="381"/>
        <v>0</v>
      </c>
      <c r="AQ192" s="42">
        <f t="shared" si="382"/>
        <v>0</v>
      </c>
      <c r="AR192" s="42">
        <f t="shared" si="383"/>
        <v>0</v>
      </c>
      <c r="AS192" s="42">
        <f t="shared" si="384"/>
        <v>0</v>
      </c>
      <c r="AT192" s="42">
        <f t="shared" si="385"/>
        <v>0</v>
      </c>
      <c r="AU192" s="42">
        <f t="shared" si="386"/>
        <v>0</v>
      </c>
      <c r="AV192" s="42">
        <f t="shared" si="387"/>
        <v>0</v>
      </c>
      <c r="AW192" s="42">
        <f t="shared" si="388"/>
        <v>0</v>
      </c>
      <c r="AX192" s="42">
        <f t="shared" si="389"/>
        <v>0</v>
      </c>
      <c r="AY192" s="42">
        <f t="shared" si="390"/>
        <v>0</v>
      </c>
      <c r="AZ192" s="42">
        <f t="shared" si="391"/>
        <v>0</v>
      </c>
      <c r="BA192" s="42">
        <f t="shared" si="392"/>
        <v>0</v>
      </c>
      <c r="BB192" s="42">
        <f t="shared" si="393"/>
        <v>0</v>
      </c>
      <c r="BC192" s="42">
        <f t="shared" si="394"/>
        <v>0</v>
      </c>
      <c r="BD192" s="42">
        <f t="shared" si="395"/>
        <v>0</v>
      </c>
      <c r="BE192" s="42">
        <f t="shared" si="396"/>
        <v>0</v>
      </c>
      <c r="BF192" s="42">
        <f t="shared" si="397"/>
        <v>0</v>
      </c>
      <c r="BG192" s="42">
        <f t="shared" si="398"/>
        <v>0</v>
      </c>
      <c r="BH192" s="42">
        <f t="shared" si="399"/>
        <v>0</v>
      </c>
      <c r="BI192" s="42">
        <f t="shared" si="400"/>
        <v>0</v>
      </c>
    </row>
    <row r="193" spans="1:61" x14ac:dyDescent="0.25">
      <c r="A193" s="478"/>
      <c r="B193" s="21" t="s">
        <v>392</v>
      </c>
      <c r="C193" s="1" t="str">
        <f t="shared" si="373"/>
        <v>7/10</v>
      </c>
      <c r="D193" s="1" t="str">
        <f>IF(IF((COUNTIF(Professional_Skill_Options,'Skill Workbook'!F193)&gt;0),INDEX(Professional_Skill_Choices,MATCH(F193,Professional_Skill_Options,0)),FALSE),"X","")</f>
        <v/>
      </c>
      <c r="E193" s="1" t="str">
        <f>IF(IF((COUNTIF(Professional_Skill_Options,'Skill Workbook'!F193)&gt;0),INDEX(Professional_Skill_Knacks,MATCH(F193,Professional_Skill_Options,0)),FALSE),"X","")</f>
        <v/>
      </c>
      <c r="F193" t="s">
        <v>267</v>
      </c>
      <c r="G193" s="194"/>
      <c r="H193" s="195"/>
      <c r="I193" s="1" t="s">
        <v>193</v>
      </c>
      <c r="J193" s="48"/>
      <c r="AE193" s="1">
        <f>SUM(K193:INDEX(K193:AD193,Level))+J193</f>
        <v>0</v>
      </c>
      <c r="AF193" s="26">
        <f t="shared" si="378"/>
        <v>-30</v>
      </c>
      <c r="AG193" s="26" t="e" cm="1">
        <f t="array" aca="1" ref="AG193" ca="1">IF(I193="NA",0,INDIRECT(LEFT(I193,2))+INDIRECT(MID(I193,4,2))+INDIRECT(RIGHT(I193,2)))</f>
        <v>#N/A</v>
      </c>
      <c r="AH193" s="26">
        <f t="shared" si="379"/>
        <v>0</v>
      </c>
      <c r="AI193" s="26">
        <f t="shared" si="380"/>
        <v>0</v>
      </c>
      <c r="AJ193" s="26"/>
      <c r="AK193" s="26" t="e">
        <f t="shared" ca="1" si="280"/>
        <v>#N/A</v>
      </c>
      <c r="AL193" s="32" t="e">
        <f t="shared" ca="1" si="376"/>
        <v>#N/A</v>
      </c>
      <c r="AP193" s="42">
        <f t="shared" si="381"/>
        <v>0</v>
      </c>
      <c r="AQ193" s="42">
        <f t="shared" si="382"/>
        <v>0</v>
      </c>
      <c r="AR193" s="42">
        <f t="shared" si="383"/>
        <v>0</v>
      </c>
      <c r="AS193" s="42">
        <f t="shared" si="384"/>
        <v>0</v>
      </c>
      <c r="AT193" s="42">
        <f t="shared" si="385"/>
        <v>0</v>
      </c>
      <c r="AU193" s="42">
        <f t="shared" si="386"/>
        <v>0</v>
      </c>
      <c r="AV193" s="42">
        <f t="shared" si="387"/>
        <v>0</v>
      </c>
      <c r="AW193" s="42">
        <f t="shared" si="388"/>
        <v>0</v>
      </c>
      <c r="AX193" s="42">
        <f t="shared" si="389"/>
        <v>0</v>
      </c>
      <c r="AY193" s="42">
        <f t="shared" si="390"/>
        <v>0</v>
      </c>
      <c r="AZ193" s="42">
        <f t="shared" si="391"/>
        <v>0</v>
      </c>
      <c r="BA193" s="42">
        <f t="shared" si="392"/>
        <v>0</v>
      </c>
      <c r="BB193" s="42">
        <f t="shared" si="393"/>
        <v>0</v>
      </c>
      <c r="BC193" s="42">
        <f t="shared" si="394"/>
        <v>0</v>
      </c>
      <c r="BD193" s="42">
        <f t="shared" si="395"/>
        <v>0</v>
      </c>
      <c r="BE193" s="42">
        <f t="shared" si="396"/>
        <v>0</v>
      </c>
      <c r="BF193" s="42">
        <f t="shared" si="397"/>
        <v>0</v>
      </c>
      <c r="BG193" s="42">
        <f t="shared" si="398"/>
        <v>0</v>
      </c>
      <c r="BH193" s="42">
        <f t="shared" si="399"/>
        <v>0</v>
      </c>
      <c r="BI193" s="42">
        <f t="shared" si="400"/>
        <v>0</v>
      </c>
    </row>
    <row r="194" spans="1:61" x14ac:dyDescent="0.25">
      <c r="A194" s="478"/>
      <c r="B194" s="21" t="s">
        <v>392</v>
      </c>
      <c r="C194" s="1" t="str">
        <f t="shared" si="373"/>
        <v>7/10</v>
      </c>
      <c r="D194" s="1" t="str">
        <f>IF(IF((COUNTIF(Professional_Skill_Options,'Skill Workbook'!F194)&gt;0),INDEX(Professional_Skill_Choices,MATCH(F194,Professional_Skill_Options,0)),FALSE),"X","")</f>
        <v/>
      </c>
      <c r="E194" s="1" t="str">
        <f>IF(IF((COUNTIF(Professional_Skill_Options,'Skill Workbook'!F194)&gt;0),INDEX(Professional_Skill_Knacks,MATCH(F194,Professional_Skill_Options,0)),FALSE),"X","")</f>
        <v/>
      </c>
      <c r="F194" t="s">
        <v>267</v>
      </c>
      <c r="G194" s="194"/>
      <c r="H194" s="195"/>
      <c r="I194" s="1" t="s">
        <v>193</v>
      </c>
      <c r="J194" s="48"/>
      <c r="AE194" s="1">
        <f>SUM(K194:INDEX(K194:AD194,Level))+J194</f>
        <v>0</v>
      </c>
      <c r="AF194" s="26">
        <f t="shared" si="378"/>
        <v>-30</v>
      </c>
      <c r="AG194" s="26" t="e" cm="1">
        <f t="array" aca="1" ref="AG194" ca="1">IF(I194="NA",0,INDIRECT(LEFT(I194,2))+INDIRECT(MID(I194,4,2))+INDIRECT(RIGHT(I194,2)))</f>
        <v>#N/A</v>
      </c>
      <c r="AH194" s="26">
        <f t="shared" si="379"/>
        <v>0</v>
      </c>
      <c r="AI194" s="26">
        <f t="shared" si="380"/>
        <v>0</v>
      </c>
      <c r="AJ194" s="26"/>
      <c r="AK194" s="26" t="e">
        <f t="shared" ca="1" si="280"/>
        <v>#N/A</v>
      </c>
      <c r="AL194" s="32" t="e">
        <f t="shared" ca="1" si="376"/>
        <v>#N/A</v>
      </c>
      <c r="AP194" s="42">
        <f t="shared" si="381"/>
        <v>0</v>
      </c>
      <c r="AQ194" s="42">
        <f t="shared" si="382"/>
        <v>0</v>
      </c>
      <c r="AR194" s="42">
        <f t="shared" si="383"/>
        <v>0</v>
      </c>
      <c r="AS194" s="42">
        <f t="shared" si="384"/>
        <v>0</v>
      </c>
      <c r="AT194" s="42">
        <f t="shared" si="385"/>
        <v>0</v>
      </c>
      <c r="AU194" s="42">
        <f t="shared" si="386"/>
        <v>0</v>
      </c>
      <c r="AV194" s="42">
        <f t="shared" si="387"/>
        <v>0</v>
      </c>
      <c r="AW194" s="42">
        <f t="shared" si="388"/>
        <v>0</v>
      </c>
      <c r="AX194" s="42">
        <f t="shared" si="389"/>
        <v>0</v>
      </c>
      <c r="AY194" s="42">
        <f t="shared" si="390"/>
        <v>0</v>
      </c>
      <c r="AZ194" s="42">
        <f t="shared" si="391"/>
        <v>0</v>
      </c>
      <c r="BA194" s="42">
        <f t="shared" si="392"/>
        <v>0</v>
      </c>
      <c r="BB194" s="42">
        <f t="shared" si="393"/>
        <v>0</v>
      </c>
      <c r="BC194" s="42">
        <f t="shared" si="394"/>
        <v>0</v>
      </c>
      <c r="BD194" s="42">
        <f t="shared" si="395"/>
        <v>0</v>
      </c>
      <c r="BE194" s="42">
        <f t="shared" si="396"/>
        <v>0</v>
      </c>
      <c r="BF194" s="42">
        <f t="shared" si="397"/>
        <v>0</v>
      </c>
      <c r="BG194" s="42">
        <f t="shared" si="398"/>
        <v>0</v>
      </c>
      <c r="BH194" s="42">
        <f t="shared" si="399"/>
        <v>0</v>
      </c>
      <c r="BI194" s="42">
        <f t="shared" si="400"/>
        <v>0</v>
      </c>
    </row>
    <row r="195" spans="1:61" x14ac:dyDescent="0.25">
      <c r="A195" s="478"/>
      <c r="B195" s="21" t="s">
        <v>392</v>
      </c>
      <c r="C195" s="1" t="str">
        <f t="shared" si="373"/>
        <v>7/10</v>
      </c>
      <c r="D195" s="1" t="str">
        <f>IF(IF((COUNTIF(Professional_Skill_Options,'Skill Workbook'!F195)&gt;0),INDEX(Professional_Skill_Choices,MATCH(F195,Professional_Skill_Options,0)),FALSE),"X","")</f>
        <v/>
      </c>
      <c r="E195" s="1" t="str">
        <f>IF(IF((COUNTIF(Professional_Skill_Options,'Skill Workbook'!F195)&gt;0),INDEX(Professional_Skill_Knacks,MATCH(F195,Professional_Skill_Options,0)),FALSE),"X","")</f>
        <v/>
      </c>
      <c r="F195" t="s">
        <v>267</v>
      </c>
      <c r="G195" s="194"/>
      <c r="H195" s="195"/>
      <c r="I195" s="1" t="s">
        <v>193</v>
      </c>
      <c r="J195" s="48"/>
      <c r="AE195" s="1">
        <f>SUM(K195:INDEX(K195:AD195,Level))+J195</f>
        <v>0</v>
      </c>
      <c r="AF195" s="26">
        <f t="shared" si="378"/>
        <v>-30</v>
      </c>
      <c r="AG195" s="26" t="e" cm="1">
        <f t="array" aca="1" ref="AG195" ca="1">IF(I195="NA",0,INDIRECT(LEFT(I195,2))+INDIRECT(MID(I195,4,2))+INDIRECT(RIGHT(I195,2)))</f>
        <v>#N/A</v>
      </c>
      <c r="AH195" s="26">
        <f t="shared" si="379"/>
        <v>0</v>
      </c>
      <c r="AI195" s="26">
        <f t="shared" si="380"/>
        <v>0</v>
      </c>
      <c r="AJ195" s="26"/>
      <c r="AK195" s="26" t="e">
        <f t="shared" ca="1" si="280"/>
        <v>#N/A</v>
      </c>
      <c r="AL195" s="32" t="e">
        <f t="shared" ca="1" si="376"/>
        <v>#N/A</v>
      </c>
      <c r="AP195" s="42">
        <f t="shared" si="381"/>
        <v>0</v>
      </c>
      <c r="AQ195" s="42">
        <f t="shared" si="382"/>
        <v>0</v>
      </c>
      <c r="AR195" s="42">
        <f t="shared" si="383"/>
        <v>0</v>
      </c>
      <c r="AS195" s="42">
        <f t="shared" si="384"/>
        <v>0</v>
      </c>
      <c r="AT195" s="42">
        <f t="shared" si="385"/>
        <v>0</v>
      </c>
      <c r="AU195" s="42">
        <f t="shared" si="386"/>
        <v>0</v>
      </c>
      <c r="AV195" s="42">
        <f t="shared" si="387"/>
        <v>0</v>
      </c>
      <c r="AW195" s="42">
        <f t="shared" si="388"/>
        <v>0</v>
      </c>
      <c r="AX195" s="42">
        <f t="shared" si="389"/>
        <v>0</v>
      </c>
      <c r="AY195" s="42">
        <f t="shared" si="390"/>
        <v>0</v>
      </c>
      <c r="AZ195" s="42">
        <f t="shared" si="391"/>
        <v>0</v>
      </c>
      <c r="BA195" s="42">
        <f t="shared" si="392"/>
        <v>0</v>
      </c>
      <c r="BB195" s="42">
        <f t="shared" si="393"/>
        <v>0</v>
      </c>
      <c r="BC195" s="42">
        <f t="shared" si="394"/>
        <v>0</v>
      </c>
      <c r="BD195" s="42">
        <f t="shared" si="395"/>
        <v>0</v>
      </c>
      <c r="BE195" s="42">
        <f t="shared" si="396"/>
        <v>0</v>
      </c>
      <c r="BF195" s="42">
        <f t="shared" si="397"/>
        <v>0</v>
      </c>
      <c r="BG195" s="42">
        <f t="shared" si="398"/>
        <v>0</v>
      </c>
      <c r="BH195" s="42">
        <f t="shared" si="399"/>
        <v>0</v>
      </c>
      <c r="BI195" s="42">
        <f t="shared" si="400"/>
        <v>0</v>
      </c>
    </row>
    <row r="196" spans="1:61" x14ac:dyDescent="0.25">
      <c r="A196" s="478"/>
      <c r="B196" s="21" t="s">
        <v>392</v>
      </c>
      <c r="C196" s="1" t="str">
        <f t="shared" si="373"/>
        <v>7/10</v>
      </c>
      <c r="D196" s="1" t="str">
        <f>IF(IF((COUNTIF(Professional_Skill_Options,'Skill Workbook'!F196)&gt;0),INDEX(Professional_Skill_Choices,MATCH(F196,Professional_Skill_Options,0)),FALSE),"X","")</f>
        <v/>
      </c>
      <c r="E196" s="1" t="str">
        <f>IF(IF((COUNTIF(Professional_Skill_Options,'Skill Workbook'!F196)&gt;0),INDEX(Professional_Skill_Knacks,MATCH(F196,Professional_Skill_Options,0)),FALSE),"X","")</f>
        <v/>
      </c>
      <c r="F196" t="s">
        <v>267</v>
      </c>
      <c r="G196" s="194"/>
      <c r="H196" s="195"/>
      <c r="I196" s="1" t="s">
        <v>193</v>
      </c>
      <c r="J196" s="48"/>
      <c r="AE196" s="1">
        <f>SUM(K196:INDEX(K196:AD196,Level))+J196</f>
        <v>0</v>
      </c>
      <c r="AF196" s="26">
        <f t="shared" si="378"/>
        <v>-30</v>
      </c>
      <c r="AG196" s="26" t="e" cm="1">
        <f t="array" aca="1" ref="AG196" ca="1">IF(I196="NA",0,INDIRECT(LEFT(I196,2))+INDIRECT(MID(I196,4,2))+INDIRECT(RIGHT(I196,2)))</f>
        <v>#N/A</v>
      </c>
      <c r="AH196" s="26">
        <f t="shared" si="379"/>
        <v>0</v>
      </c>
      <c r="AI196" s="26">
        <f t="shared" si="380"/>
        <v>0</v>
      </c>
      <c r="AJ196" s="26"/>
      <c r="AK196" s="26" t="e">
        <f t="shared" ca="1" si="280"/>
        <v>#N/A</v>
      </c>
      <c r="AL196" s="32" t="e">
        <f t="shared" ca="1" si="376"/>
        <v>#N/A</v>
      </c>
      <c r="AP196" s="42">
        <f t="shared" si="381"/>
        <v>0</v>
      </c>
      <c r="AQ196" s="42">
        <f t="shared" si="382"/>
        <v>0</v>
      </c>
      <c r="AR196" s="42">
        <f t="shared" si="383"/>
        <v>0</v>
      </c>
      <c r="AS196" s="42">
        <f t="shared" si="384"/>
        <v>0</v>
      </c>
      <c r="AT196" s="42">
        <f t="shared" si="385"/>
        <v>0</v>
      </c>
      <c r="AU196" s="42">
        <f t="shared" si="386"/>
        <v>0</v>
      </c>
      <c r="AV196" s="42">
        <f t="shared" si="387"/>
        <v>0</v>
      </c>
      <c r="AW196" s="42">
        <f t="shared" si="388"/>
        <v>0</v>
      </c>
      <c r="AX196" s="42">
        <f t="shared" si="389"/>
        <v>0</v>
      </c>
      <c r="AY196" s="42">
        <f t="shared" si="390"/>
        <v>0</v>
      </c>
      <c r="AZ196" s="42">
        <f t="shared" si="391"/>
        <v>0</v>
      </c>
      <c r="BA196" s="42">
        <f t="shared" si="392"/>
        <v>0</v>
      </c>
      <c r="BB196" s="42">
        <f t="shared" si="393"/>
        <v>0</v>
      </c>
      <c r="BC196" s="42">
        <f t="shared" si="394"/>
        <v>0</v>
      </c>
      <c r="BD196" s="42">
        <f t="shared" si="395"/>
        <v>0</v>
      </c>
      <c r="BE196" s="42">
        <f t="shared" si="396"/>
        <v>0</v>
      </c>
      <c r="BF196" s="42">
        <f t="shared" si="397"/>
        <v>0</v>
      </c>
      <c r="BG196" s="42">
        <f t="shared" si="398"/>
        <v>0</v>
      </c>
      <c r="BH196" s="42">
        <f t="shared" si="399"/>
        <v>0</v>
      </c>
      <c r="BI196" s="42">
        <f t="shared" si="400"/>
        <v>0</v>
      </c>
    </row>
    <row r="197" spans="1:61" x14ac:dyDescent="0.25">
      <c r="A197" s="478"/>
      <c r="B197" s="21" t="s">
        <v>392</v>
      </c>
      <c r="C197" s="1" t="str">
        <f t="shared" si="373"/>
        <v>7/10</v>
      </c>
      <c r="D197" s="1" t="str">
        <f>IF(IF((COUNTIF(Professional_Skill_Options,'Skill Workbook'!F197)&gt;0),INDEX(Professional_Skill_Choices,MATCH(F197,Professional_Skill_Options,0)),FALSE),"X","")</f>
        <v/>
      </c>
      <c r="E197" s="1" t="str">
        <f>IF(IF((COUNTIF(Professional_Skill_Options,'Skill Workbook'!F197)&gt;0),INDEX(Professional_Skill_Knacks,MATCH(F197,Professional_Skill_Options,0)),FALSE),"X","")</f>
        <v/>
      </c>
      <c r="F197" t="s">
        <v>267</v>
      </c>
      <c r="G197" s="194"/>
      <c r="H197" s="195"/>
      <c r="I197" s="1" t="s">
        <v>193</v>
      </c>
      <c r="J197" s="48"/>
      <c r="AE197" s="1">
        <f>SUM(K197:INDEX(K197:AD197,Level))+J197</f>
        <v>0</v>
      </c>
      <c r="AF197" s="26">
        <f t="shared" si="378"/>
        <v>-30</v>
      </c>
      <c r="AG197" s="26" t="e" cm="1">
        <f t="array" aca="1" ref="AG197" ca="1">IF(I197="NA",0,INDIRECT(LEFT(I197,2))+INDIRECT(MID(I197,4,2))+INDIRECT(RIGHT(I197,2)))</f>
        <v>#N/A</v>
      </c>
      <c r="AH197" s="26">
        <f t="shared" si="379"/>
        <v>0</v>
      </c>
      <c r="AI197" s="26">
        <f t="shared" si="380"/>
        <v>0</v>
      </c>
      <c r="AJ197" s="26"/>
      <c r="AK197" s="26" t="e">
        <f t="shared" ca="1" si="280"/>
        <v>#N/A</v>
      </c>
      <c r="AL197" s="32" t="e">
        <f t="shared" ca="1" si="376"/>
        <v>#N/A</v>
      </c>
      <c r="AP197" s="42">
        <f t="shared" si="381"/>
        <v>0</v>
      </c>
      <c r="AQ197" s="42">
        <f t="shared" si="382"/>
        <v>0</v>
      </c>
      <c r="AR197" s="42">
        <f t="shared" si="383"/>
        <v>0</v>
      </c>
      <c r="AS197" s="42">
        <f t="shared" si="384"/>
        <v>0</v>
      </c>
      <c r="AT197" s="42">
        <f t="shared" si="385"/>
        <v>0</v>
      </c>
      <c r="AU197" s="42">
        <f t="shared" si="386"/>
        <v>0</v>
      </c>
      <c r="AV197" s="42">
        <f t="shared" si="387"/>
        <v>0</v>
      </c>
      <c r="AW197" s="42">
        <f t="shared" si="388"/>
        <v>0</v>
      </c>
      <c r="AX197" s="42">
        <f t="shared" si="389"/>
        <v>0</v>
      </c>
      <c r="AY197" s="42">
        <f t="shared" si="390"/>
        <v>0</v>
      </c>
      <c r="AZ197" s="42">
        <f t="shared" si="391"/>
        <v>0</v>
      </c>
      <c r="BA197" s="42">
        <f t="shared" si="392"/>
        <v>0</v>
      </c>
      <c r="BB197" s="42">
        <f t="shared" si="393"/>
        <v>0</v>
      </c>
      <c r="BC197" s="42">
        <f t="shared" si="394"/>
        <v>0</v>
      </c>
      <c r="BD197" s="42">
        <f t="shared" si="395"/>
        <v>0</v>
      </c>
      <c r="BE197" s="42">
        <f t="shared" si="396"/>
        <v>0</v>
      </c>
      <c r="BF197" s="42">
        <f t="shared" si="397"/>
        <v>0</v>
      </c>
      <c r="BG197" s="42">
        <f t="shared" si="398"/>
        <v>0</v>
      </c>
      <c r="BH197" s="42">
        <f t="shared" si="399"/>
        <v>0</v>
      </c>
      <c r="BI197" s="42">
        <f t="shared" si="400"/>
        <v>0</v>
      </c>
    </row>
    <row r="198" spans="1:61" x14ac:dyDescent="0.25">
      <c r="A198" s="478"/>
      <c r="B198" s="21" t="s">
        <v>392</v>
      </c>
      <c r="C198" s="1" t="str">
        <f t="shared" si="373"/>
        <v>7/10</v>
      </c>
      <c r="D198" s="1" t="str">
        <f>IF(IF((COUNTIF(Professional_Skill_Options,'Skill Workbook'!F198)&gt;0),INDEX(Professional_Skill_Choices,MATCH(F198,Professional_Skill_Options,0)),FALSE),"X","")</f>
        <v/>
      </c>
      <c r="E198" s="1" t="str">
        <f>IF(IF((COUNTIF(Professional_Skill_Options,'Skill Workbook'!F198)&gt;0),INDEX(Professional_Skill_Knacks,MATCH(F198,Professional_Skill_Options,0)),FALSE),"X","")</f>
        <v/>
      </c>
      <c r="F198" t="s">
        <v>267</v>
      </c>
      <c r="G198" s="194"/>
      <c r="H198" s="195"/>
      <c r="I198" s="1" t="s">
        <v>193</v>
      </c>
      <c r="J198" s="48"/>
      <c r="AE198" s="1">
        <f>SUM(K198:INDEX(K198:AD198,Level))+J198</f>
        <v>0</v>
      </c>
      <c r="AF198" s="26">
        <f t="shared" si="378"/>
        <v>-30</v>
      </c>
      <c r="AG198" s="26" t="e" cm="1">
        <f t="array" aca="1" ref="AG198" ca="1">IF(I198="NA",0,INDIRECT(LEFT(I198,2))+INDIRECT(MID(I198,4,2))+INDIRECT(RIGHT(I198,2)))</f>
        <v>#N/A</v>
      </c>
      <c r="AH198" s="26">
        <f t="shared" si="379"/>
        <v>0</v>
      </c>
      <c r="AI198" s="26">
        <f t="shared" si="380"/>
        <v>0</v>
      </c>
      <c r="AJ198" s="26"/>
      <c r="AK198" s="26" t="e">
        <f t="shared" ca="1" si="280"/>
        <v>#N/A</v>
      </c>
      <c r="AL198" s="32" t="e">
        <f t="shared" ca="1" si="376"/>
        <v>#N/A</v>
      </c>
      <c r="AP198" s="42">
        <f t="shared" si="381"/>
        <v>0</v>
      </c>
      <c r="AQ198" s="42">
        <f t="shared" si="382"/>
        <v>0</v>
      </c>
      <c r="AR198" s="42">
        <f t="shared" si="383"/>
        <v>0</v>
      </c>
      <c r="AS198" s="42">
        <f t="shared" si="384"/>
        <v>0</v>
      </c>
      <c r="AT198" s="42">
        <f t="shared" si="385"/>
        <v>0</v>
      </c>
      <c r="AU198" s="42">
        <f t="shared" si="386"/>
        <v>0</v>
      </c>
      <c r="AV198" s="42">
        <f t="shared" si="387"/>
        <v>0</v>
      </c>
      <c r="AW198" s="42">
        <f t="shared" si="388"/>
        <v>0</v>
      </c>
      <c r="AX198" s="42">
        <f t="shared" si="389"/>
        <v>0</v>
      </c>
      <c r="AY198" s="42">
        <f t="shared" si="390"/>
        <v>0</v>
      </c>
      <c r="AZ198" s="42">
        <f t="shared" si="391"/>
        <v>0</v>
      </c>
      <c r="BA198" s="42">
        <f t="shared" si="392"/>
        <v>0</v>
      </c>
      <c r="BB198" s="42">
        <f t="shared" si="393"/>
        <v>0</v>
      </c>
      <c r="BC198" s="42">
        <f t="shared" si="394"/>
        <v>0</v>
      </c>
      <c r="BD198" s="42">
        <f t="shared" si="395"/>
        <v>0</v>
      </c>
      <c r="BE198" s="42">
        <f t="shared" si="396"/>
        <v>0</v>
      </c>
      <c r="BF198" s="42">
        <f t="shared" si="397"/>
        <v>0</v>
      </c>
      <c r="BG198" s="42">
        <f t="shared" si="398"/>
        <v>0</v>
      </c>
      <c r="BH198" s="42">
        <f t="shared" si="399"/>
        <v>0</v>
      </c>
      <c r="BI198" s="42">
        <f t="shared" si="400"/>
        <v>0</v>
      </c>
    </row>
    <row r="199" spans="1:61" x14ac:dyDescent="0.25">
      <c r="A199" s="478"/>
      <c r="B199" s="21" t="s">
        <v>392</v>
      </c>
      <c r="C199" s="1" t="str">
        <f t="shared" si="373"/>
        <v>7/10</v>
      </c>
      <c r="D199" s="1" t="str">
        <f>IF(IF((COUNTIF(Professional_Skill_Options,'Skill Workbook'!F199)&gt;0),INDEX(Professional_Skill_Choices,MATCH(F199,Professional_Skill_Options,0)),FALSE),"X","")</f>
        <v/>
      </c>
      <c r="E199" s="1" t="str">
        <f>IF(IF((COUNTIF(Professional_Skill_Options,'Skill Workbook'!F199)&gt;0),INDEX(Professional_Skill_Knacks,MATCH(F199,Professional_Skill_Options,0)),FALSE),"X","")</f>
        <v/>
      </c>
      <c r="F199" t="s">
        <v>267</v>
      </c>
      <c r="G199" s="194"/>
      <c r="H199" s="195"/>
      <c r="I199" s="1" t="s">
        <v>193</v>
      </c>
      <c r="J199" s="48"/>
      <c r="AE199" s="1">
        <f>SUM(K199:INDEX(K199:AD199,Level))+J199</f>
        <v>0</v>
      </c>
      <c r="AF199" s="26">
        <f t="shared" si="378"/>
        <v>-30</v>
      </c>
      <c r="AG199" s="26" t="e" cm="1">
        <f t="array" aca="1" ref="AG199" ca="1">IF(I199="NA",0,INDIRECT(LEFT(I199,2))+INDIRECT(MID(I199,4,2))+INDIRECT(RIGHT(I199,2)))</f>
        <v>#N/A</v>
      </c>
      <c r="AH199" s="26">
        <f t="shared" si="379"/>
        <v>0</v>
      </c>
      <c r="AI199" s="26">
        <f t="shared" si="380"/>
        <v>0</v>
      </c>
      <c r="AJ199" s="26"/>
      <c r="AK199" s="26" t="e">
        <f t="shared" ca="1" si="280"/>
        <v>#N/A</v>
      </c>
      <c r="AL199" s="32" t="e">
        <f t="shared" ca="1" si="376"/>
        <v>#N/A</v>
      </c>
      <c r="AP199" s="42">
        <f t="shared" si="381"/>
        <v>0</v>
      </c>
      <c r="AQ199" s="42">
        <f t="shared" si="382"/>
        <v>0</v>
      </c>
      <c r="AR199" s="42">
        <f t="shared" si="383"/>
        <v>0</v>
      </c>
      <c r="AS199" s="42">
        <f t="shared" si="384"/>
        <v>0</v>
      </c>
      <c r="AT199" s="42">
        <f t="shared" si="385"/>
        <v>0</v>
      </c>
      <c r="AU199" s="42">
        <f t="shared" si="386"/>
        <v>0</v>
      </c>
      <c r="AV199" s="42">
        <f t="shared" si="387"/>
        <v>0</v>
      </c>
      <c r="AW199" s="42">
        <f t="shared" si="388"/>
        <v>0</v>
      </c>
      <c r="AX199" s="42">
        <f t="shared" si="389"/>
        <v>0</v>
      </c>
      <c r="AY199" s="42">
        <f t="shared" si="390"/>
        <v>0</v>
      </c>
      <c r="AZ199" s="42">
        <f t="shared" si="391"/>
        <v>0</v>
      </c>
      <c r="BA199" s="42">
        <f t="shared" si="392"/>
        <v>0</v>
      </c>
      <c r="BB199" s="42">
        <f t="shared" si="393"/>
        <v>0</v>
      </c>
      <c r="BC199" s="42">
        <f t="shared" si="394"/>
        <v>0</v>
      </c>
      <c r="BD199" s="42">
        <f t="shared" si="395"/>
        <v>0</v>
      </c>
      <c r="BE199" s="42">
        <f t="shared" si="396"/>
        <v>0</v>
      </c>
      <c r="BF199" s="42">
        <f t="shared" si="397"/>
        <v>0</v>
      </c>
      <c r="BG199" s="42">
        <f t="shared" si="398"/>
        <v>0</v>
      </c>
      <c r="BH199" s="42">
        <f t="shared" si="399"/>
        <v>0</v>
      </c>
      <c r="BI199" s="42">
        <f t="shared" si="400"/>
        <v>0</v>
      </c>
    </row>
    <row r="200" spans="1:61" x14ac:dyDescent="0.25">
      <c r="A200" s="478"/>
      <c r="B200" s="21" t="s">
        <v>392</v>
      </c>
      <c r="C200" s="1" t="str">
        <f t="shared" si="373"/>
        <v>7/10</v>
      </c>
      <c r="D200" s="1" t="str">
        <f>IF(IF((COUNTIF(Professional_Skill_Options,'Skill Workbook'!F200)&gt;0),INDEX(Professional_Skill_Choices,MATCH(F200,Professional_Skill_Options,0)),FALSE),"X","")</f>
        <v/>
      </c>
      <c r="E200" s="1" t="str">
        <f>IF(IF((COUNTIF(Professional_Skill_Options,'Skill Workbook'!F200)&gt;0),INDEX(Professional_Skill_Knacks,MATCH(F200,Professional_Skill_Options,0)),FALSE),"X","")</f>
        <v/>
      </c>
      <c r="F200" t="s">
        <v>267</v>
      </c>
      <c r="G200" s="194"/>
      <c r="H200" s="195"/>
      <c r="I200" s="1" t="s">
        <v>193</v>
      </c>
      <c r="J200" s="48"/>
      <c r="AE200" s="1">
        <f>SUM(K200:INDEX(K200:AD200,Level))+J200</f>
        <v>0</v>
      </c>
      <c r="AF200" s="26">
        <f t="shared" si="378"/>
        <v>-30</v>
      </c>
      <c r="AG200" s="26" t="e" cm="1">
        <f t="array" aca="1" ref="AG200" ca="1">IF(I200="NA",0,INDIRECT(LEFT(I200,2))+INDIRECT(MID(I200,4,2))+INDIRECT(RIGHT(I200,2)))</f>
        <v>#N/A</v>
      </c>
      <c r="AH200" s="26">
        <f t="shared" si="379"/>
        <v>0</v>
      </c>
      <c r="AI200" s="26">
        <f t="shared" si="380"/>
        <v>0</v>
      </c>
      <c r="AJ200" s="26"/>
      <c r="AK200" s="26" t="e">
        <f t="shared" ca="1" si="280"/>
        <v>#N/A</v>
      </c>
      <c r="AL200" s="32" t="e">
        <f t="shared" ca="1" si="376"/>
        <v>#N/A</v>
      </c>
      <c r="AP200" s="42">
        <f t="shared" si="381"/>
        <v>0</v>
      </c>
      <c r="AQ200" s="42">
        <f t="shared" si="382"/>
        <v>0</v>
      </c>
      <c r="AR200" s="42">
        <f t="shared" si="383"/>
        <v>0</v>
      </c>
      <c r="AS200" s="42">
        <f t="shared" si="384"/>
        <v>0</v>
      </c>
      <c r="AT200" s="42">
        <f t="shared" si="385"/>
        <v>0</v>
      </c>
      <c r="AU200" s="42">
        <f t="shared" si="386"/>
        <v>0</v>
      </c>
      <c r="AV200" s="42">
        <f t="shared" si="387"/>
        <v>0</v>
      </c>
      <c r="AW200" s="42">
        <f t="shared" si="388"/>
        <v>0</v>
      </c>
      <c r="AX200" s="42">
        <f t="shared" si="389"/>
        <v>0</v>
      </c>
      <c r="AY200" s="42">
        <f t="shared" si="390"/>
        <v>0</v>
      </c>
      <c r="AZ200" s="42">
        <f t="shared" si="391"/>
        <v>0</v>
      </c>
      <c r="BA200" s="42">
        <f t="shared" si="392"/>
        <v>0</v>
      </c>
      <c r="BB200" s="42">
        <f t="shared" si="393"/>
        <v>0</v>
      </c>
      <c r="BC200" s="42">
        <f t="shared" si="394"/>
        <v>0</v>
      </c>
      <c r="BD200" s="42">
        <f t="shared" si="395"/>
        <v>0</v>
      </c>
      <c r="BE200" s="42">
        <f t="shared" si="396"/>
        <v>0</v>
      </c>
      <c r="BF200" s="42">
        <f t="shared" si="397"/>
        <v>0</v>
      </c>
      <c r="BG200" s="42">
        <f t="shared" si="398"/>
        <v>0</v>
      </c>
      <c r="BH200" s="42">
        <f t="shared" si="399"/>
        <v>0</v>
      </c>
      <c r="BI200" s="42">
        <f t="shared" si="400"/>
        <v>0</v>
      </c>
    </row>
    <row r="201" spans="1:61" x14ac:dyDescent="0.25">
      <c r="A201" s="478"/>
      <c r="B201" s="21" t="s">
        <v>392</v>
      </c>
      <c r="C201" s="1" t="str">
        <f t="shared" si="373"/>
        <v>7/10</v>
      </c>
      <c r="D201" s="1" t="str">
        <f>IF(IF((COUNTIF(Professional_Skill_Options,'Skill Workbook'!F201)&gt;0),INDEX(Professional_Skill_Choices,MATCH(F201,Professional_Skill_Options,0)),FALSE),"X","")</f>
        <v/>
      </c>
      <c r="E201" s="1" t="str">
        <f>IF(IF((COUNTIF(Professional_Skill_Options,'Skill Workbook'!F201)&gt;0),INDEX(Professional_Skill_Knacks,MATCH(F201,Professional_Skill_Options,0)),FALSE),"X","")</f>
        <v/>
      </c>
      <c r="F201" t="s">
        <v>267</v>
      </c>
      <c r="G201" s="194"/>
      <c r="H201" s="195"/>
      <c r="I201" s="1" t="s">
        <v>193</v>
      </c>
      <c r="J201" s="48"/>
      <c r="AE201" s="1">
        <f>SUM(K201:INDEX(K201:AD201,Level))+J201</f>
        <v>0</v>
      </c>
      <c r="AF201" s="26">
        <f t="shared" si="378"/>
        <v>-30</v>
      </c>
      <c r="AG201" s="26" t="e" cm="1">
        <f t="array" aca="1" ref="AG201" ca="1">IF(I201="NA",0,INDIRECT(LEFT(I201,2))+INDIRECT(MID(I201,4,2))+INDIRECT(RIGHT(I201,2)))</f>
        <v>#N/A</v>
      </c>
      <c r="AH201" s="26">
        <f t="shared" si="379"/>
        <v>0</v>
      </c>
      <c r="AI201" s="26">
        <f t="shared" si="380"/>
        <v>0</v>
      </c>
      <c r="AJ201" s="26"/>
      <c r="AK201" s="26" t="e">
        <f t="shared" ca="1" si="280"/>
        <v>#N/A</v>
      </c>
      <c r="AL201" s="32" t="e">
        <f t="shared" ca="1" si="376"/>
        <v>#N/A</v>
      </c>
      <c r="AP201" s="42">
        <f t="shared" si="381"/>
        <v>0</v>
      </c>
      <c r="AQ201" s="42">
        <f t="shared" si="382"/>
        <v>0</v>
      </c>
      <c r="AR201" s="42">
        <f t="shared" si="383"/>
        <v>0</v>
      </c>
      <c r="AS201" s="42">
        <f t="shared" si="384"/>
        <v>0</v>
      </c>
      <c r="AT201" s="42">
        <f t="shared" si="385"/>
        <v>0</v>
      </c>
      <c r="AU201" s="42">
        <f t="shared" si="386"/>
        <v>0</v>
      </c>
      <c r="AV201" s="42">
        <f t="shared" si="387"/>
        <v>0</v>
      </c>
      <c r="AW201" s="42">
        <f t="shared" si="388"/>
        <v>0</v>
      </c>
      <c r="AX201" s="42">
        <f t="shared" si="389"/>
        <v>0</v>
      </c>
      <c r="AY201" s="42">
        <f t="shared" si="390"/>
        <v>0</v>
      </c>
      <c r="AZ201" s="42">
        <f t="shared" si="391"/>
        <v>0</v>
      </c>
      <c r="BA201" s="42">
        <f t="shared" si="392"/>
        <v>0</v>
      </c>
      <c r="BB201" s="42">
        <f t="shared" si="393"/>
        <v>0</v>
      </c>
      <c r="BC201" s="42">
        <f t="shared" si="394"/>
        <v>0</v>
      </c>
      <c r="BD201" s="42">
        <f t="shared" si="395"/>
        <v>0</v>
      </c>
      <c r="BE201" s="42">
        <f t="shared" si="396"/>
        <v>0</v>
      </c>
      <c r="BF201" s="42">
        <f t="shared" si="397"/>
        <v>0</v>
      </c>
      <c r="BG201" s="42">
        <f t="shared" si="398"/>
        <v>0</v>
      </c>
      <c r="BH201" s="42">
        <f t="shared" si="399"/>
        <v>0</v>
      </c>
      <c r="BI201" s="42">
        <f t="shared" si="400"/>
        <v>0</v>
      </c>
    </row>
    <row r="202" spans="1:61" x14ac:dyDescent="0.25">
      <c r="A202" s="478"/>
      <c r="B202" s="21" t="s">
        <v>392</v>
      </c>
      <c r="C202" s="1" t="str">
        <f t="shared" si="373"/>
        <v>7/10</v>
      </c>
      <c r="D202" s="1" t="str">
        <f>IF(IF((COUNTIF(Professional_Skill_Options,'Skill Workbook'!F202)&gt;0),INDEX(Professional_Skill_Choices,MATCH(F202,Professional_Skill_Options,0)),FALSE),"X","")</f>
        <v/>
      </c>
      <c r="E202" s="1" t="str">
        <f>IF(IF((COUNTIF(Professional_Skill_Options,'Skill Workbook'!F202)&gt;0),INDEX(Professional_Skill_Knacks,MATCH(F202,Professional_Skill_Options,0)),FALSE),"X","")</f>
        <v/>
      </c>
      <c r="F202" t="s">
        <v>267</v>
      </c>
      <c r="G202" s="194"/>
      <c r="H202" s="195"/>
      <c r="I202" s="1" t="s">
        <v>193</v>
      </c>
      <c r="J202" s="48"/>
      <c r="AE202" s="1">
        <f>SUM(K202:INDEX(K202:AD202,Level))+J202</f>
        <v>0</v>
      </c>
      <c r="AF202" s="26">
        <f t="shared" si="378"/>
        <v>-30</v>
      </c>
      <c r="AG202" s="26" t="e" cm="1">
        <f t="array" aca="1" ref="AG202" ca="1">IF(I202="NA",0,INDIRECT(LEFT(I202,2))+INDIRECT(MID(I202,4,2))+INDIRECT(RIGHT(I202,2)))</f>
        <v>#N/A</v>
      </c>
      <c r="AH202" s="26">
        <f t="shared" si="379"/>
        <v>0</v>
      </c>
      <c r="AI202" s="26">
        <f t="shared" si="380"/>
        <v>0</v>
      </c>
      <c r="AJ202" s="26"/>
      <c r="AK202" s="26" t="e">
        <f t="shared" ref="AK202:AK210" ca="1" si="401">ROUND(IF(H202="",AL202,IF((ROUNDDOWN(AE202*1.5,0))&gt;30,100+(ROUNDDOWN(AE202*1.5,0)),VLOOKUP((ROUNDDOWN(AE202*1.5,0)),Rank_Bonus,2,FALSE))+SUM(AG202:AJ202)),0)</f>
        <v>#N/A</v>
      </c>
      <c r="AL202" s="32" t="e">
        <f t="shared" ca="1" si="376"/>
        <v>#N/A</v>
      </c>
      <c r="AP202" s="42">
        <f t="shared" si="381"/>
        <v>0</v>
      </c>
      <c r="AQ202" s="42">
        <f t="shared" si="382"/>
        <v>0</v>
      </c>
      <c r="AR202" s="42">
        <f t="shared" si="383"/>
        <v>0</v>
      </c>
      <c r="AS202" s="42">
        <f t="shared" si="384"/>
        <v>0</v>
      </c>
      <c r="AT202" s="42">
        <f t="shared" si="385"/>
        <v>0</v>
      </c>
      <c r="AU202" s="42">
        <f t="shared" si="386"/>
        <v>0</v>
      </c>
      <c r="AV202" s="42">
        <f t="shared" si="387"/>
        <v>0</v>
      </c>
      <c r="AW202" s="42">
        <f t="shared" si="388"/>
        <v>0</v>
      </c>
      <c r="AX202" s="42">
        <f t="shared" si="389"/>
        <v>0</v>
      </c>
      <c r="AY202" s="42">
        <f t="shared" si="390"/>
        <v>0</v>
      </c>
      <c r="AZ202" s="42">
        <f t="shared" si="391"/>
        <v>0</v>
      </c>
      <c r="BA202" s="42">
        <f t="shared" si="392"/>
        <v>0</v>
      </c>
      <c r="BB202" s="42">
        <f t="shared" si="393"/>
        <v>0</v>
      </c>
      <c r="BC202" s="42">
        <f t="shared" si="394"/>
        <v>0</v>
      </c>
      <c r="BD202" s="42">
        <f t="shared" si="395"/>
        <v>0</v>
      </c>
      <c r="BE202" s="42">
        <f t="shared" si="396"/>
        <v>0</v>
      </c>
      <c r="BF202" s="42">
        <f t="shared" si="397"/>
        <v>0</v>
      </c>
      <c r="BG202" s="42">
        <f t="shared" si="398"/>
        <v>0</v>
      </c>
      <c r="BH202" s="42">
        <f t="shared" si="399"/>
        <v>0</v>
      </c>
      <c r="BI202" s="42">
        <f t="shared" si="400"/>
        <v>0</v>
      </c>
    </row>
    <row r="203" spans="1:61" x14ac:dyDescent="0.25">
      <c r="A203" s="478"/>
      <c r="B203" s="21" t="s">
        <v>392</v>
      </c>
      <c r="C203" s="1" t="str">
        <f t="shared" si="373"/>
        <v>5/7</v>
      </c>
      <c r="D203" s="1" t="str">
        <f>IF(IF((COUNTIF(Professional_Skill_Options,'Skill Workbook'!F203)&gt;0),INDEX(Professional_Skill_Choices,MATCH(F203,Professional_Skill_Options,0)),FALSE),"X","")</f>
        <v/>
      </c>
      <c r="E203" s="1" t="str">
        <f>IF(IF((COUNTIF(Professional_Skill_Options,'Skill Workbook'!F203)&gt;0),INDEX(Professional_Skill_Knacks,MATCH(F203,Professional_Skill_Options,0)),FALSE),"X","")</f>
        <v/>
      </c>
      <c r="F203" t="s">
        <v>266</v>
      </c>
      <c r="G203" s="194" t="s">
        <v>393</v>
      </c>
      <c r="H203" s="195"/>
      <c r="I203" s="1" t="s">
        <v>193</v>
      </c>
      <c r="J203" s="48"/>
      <c r="AE203" s="1">
        <f>SUM(K203:INDEX(K203:AD203,Level))+J203</f>
        <v>0</v>
      </c>
      <c r="AF203" s="26">
        <f t="shared" si="378"/>
        <v>-35</v>
      </c>
      <c r="AG203" s="26" t="e" cm="1">
        <f t="array" aca="1" ref="AG203" ca="1">IF(I203="NA",0,INDIRECT(LEFT(I203,2))+INDIRECT(MID(I203,4,2))+INDIRECT(RIGHT(I203,2)))</f>
        <v>#N/A</v>
      </c>
      <c r="AH203" s="26">
        <f t="shared" si="379"/>
        <v>0</v>
      </c>
      <c r="AI203" s="26">
        <f t="shared" si="380"/>
        <v>0</v>
      </c>
      <c r="AJ203" s="26"/>
      <c r="AK203" s="26" t="e">
        <f t="shared" ca="1" si="401"/>
        <v>#N/A</v>
      </c>
      <c r="AL203" s="32" t="e">
        <f t="shared" ca="1" si="376"/>
        <v>#N/A</v>
      </c>
      <c r="AP203" s="42">
        <f t="shared" si="381"/>
        <v>0</v>
      </c>
      <c r="AQ203" s="42">
        <f t="shared" si="382"/>
        <v>0</v>
      </c>
      <c r="AR203" s="42">
        <f t="shared" si="383"/>
        <v>0</v>
      </c>
      <c r="AS203" s="42">
        <f t="shared" si="384"/>
        <v>0</v>
      </c>
      <c r="AT203" s="42">
        <f t="shared" si="385"/>
        <v>0</v>
      </c>
      <c r="AU203" s="42">
        <f t="shared" si="386"/>
        <v>0</v>
      </c>
      <c r="AV203" s="42">
        <f t="shared" si="387"/>
        <v>0</v>
      </c>
      <c r="AW203" s="42">
        <f t="shared" si="388"/>
        <v>0</v>
      </c>
      <c r="AX203" s="42">
        <f t="shared" si="389"/>
        <v>0</v>
      </c>
      <c r="AY203" s="42">
        <f t="shared" si="390"/>
        <v>0</v>
      </c>
      <c r="AZ203" s="42">
        <f t="shared" si="391"/>
        <v>0</v>
      </c>
      <c r="BA203" s="42">
        <f t="shared" si="392"/>
        <v>0</v>
      </c>
      <c r="BB203" s="42">
        <f t="shared" si="393"/>
        <v>0</v>
      </c>
      <c r="BC203" s="42">
        <f t="shared" si="394"/>
        <v>0</v>
      </c>
      <c r="BD203" s="42">
        <f t="shared" si="395"/>
        <v>0</v>
      </c>
      <c r="BE203" s="42">
        <f t="shared" si="396"/>
        <v>0</v>
      </c>
      <c r="BF203" s="42">
        <f t="shared" si="397"/>
        <v>0</v>
      </c>
      <c r="BG203" s="42">
        <f t="shared" si="398"/>
        <v>0</v>
      </c>
      <c r="BH203" s="42">
        <f t="shared" si="399"/>
        <v>0</v>
      </c>
      <c r="BI203" s="42">
        <f t="shared" si="400"/>
        <v>0</v>
      </c>
    </row>
    <row r="204" spans="1:61" x14ac:dyDescent="0.25">
      <c r="A204" s="478"/>
      <c r="B204" s="21" t="s">
        <v>392</v>
      </c>
      <c r="C204" s="1" t="str">
        <f t="shared" si="373"/>
        <v>5/7</v>
      </c>
      <c r="D204" s="1" t="str">
        <f>IF(IF((COUNTIF(Professional_Skill_Options,'Skill Workbook'!F204)&gt;0),INDEX(Professional_Skill_Choices,MATCH(F204,Professional_Skill_Options,0)),FALSE),"X","")</f>
        <v/>
      </c>
      <c r="E204" s="1" t="str">
        <f>IF(IF((COUNTIF(Professional_Skill_Options,'Skill Workbook'!F204)&gt;0),INDEX(Professional_Skill_Knacks,MATCH(F204,Professional_Skill_Options,0)),FALSE),"X","")</f>
        <v/>
      </c>
      <c r="F204" t="s">
        <v>266</v>
      </c>
      <c r="G204" s="194" t="s">
        <v>394</v>
      </c>
      <c r="H204" s="195"/>
      <c r="I204" s="1" t="s">
        <v>193</v>
      </c>
      <c r="J204" s="48"/>
      <c r="AE204" s="1">
        <f>SUM(K204:INDEX(K204:AD204,Level))+J204</f>
        <v>0</v>
      </c>
      <c r="AF204" s="26">
        <f t="shared" si="378"/>
        <v>-35</v>
      </c>
      <c r="AG204" s="26" t="e" cm="1">
        <f t="array" aca="1" ref="AG204" ca="1">IF(I204="NA",0,INDIRECT(LEFT(I204,2))+INDIRECT(MID(I204,4,2))+INDIRECT(RIGHT(I204,2)))</f>
        <v>#N/A</v>
      </c>
      <c r="AH204" s="26">
        <f t="shared" si="379"/>
        <v>0</v>
      </c>
      <c r="AI204" s="26">
        <f t="shared" si="380"/>
        <v>0</v>
      </c>
      <c r="AJ204" s="26"/>
      <c r="AK204" s="26" t="e">
        <f t="shared" ca="1" si="401"/>
        <v>#N/A</v>
      </c>
      <c r="AL204" s="32" t="e">
        <f t="shared" ca="1" si="376"/>
        <v>#N/A</v>
      </c>
      <c r="AP204" s="42">
        <f t="shared" si="381"/>
        <v>0</v>
      </c>
      <c r="AQ204" s="42">
        <f t="shared" si="382"/>
        <v>0</v>
      </c>
      <c r="AR204" s="42">
        <f t="shared" si="383"/>
        <v>0</v>
      </c>
      <c r="AS204" s="42">
        <f t="shared" si="384"/>
        <v>0</v>
      </c>
      <c r="AT204" s="42">
        <f t="shared" si="385"/>
        <v>0</v>
      </c>
      <c r="AU204" s="42">
        <f t="shared" si="386"/>
        <v>0</v>
      </c>
      <c r="AV204" s="42">
        <f t="shared" si="387"/>
        <v>0</v>
      </c>
      <c r="AW204" s="42">
        <f t="shared" si="388"/>
        <v>0</v>
      </c>
      <c r="AX204" s="42">
        <f t="shared" si="389"/>
        <v>0</v>
      </c>
      <c r="AY204" s="42">
        <f t="shared" si="390"/>
        <v>0</v>
      </c>
      <c r="AZ204" s="42">
        <f t="shared" si="391"/>
        <v>0</v>
      </c>
      <c r="BA204" s="42">
        <f t="shared" si="392"/>
        <v>0</v>
      </c>
      <c r="BB204" s="42">
        <f t="shared" si="393"/>
        <v>0</v>
      </c>
      <c r="BC204" s="42">
        <f t="shared" si="394"/>
        <v>0</v>
      </c>
      <c r="BD204" s="42">
        <f t="shared" si="395"/>
        <v>0</v>
      </c>
      <c r="BE204" s="42">
        <f t="shared" si="396"/>
        <v>0</v>
      </c>
      <c r="BF204" s="42">
        <f t="shared" si="397"/>
        <v>0</v>
      </c>
      <c r="BG204" s="42">
        <f t="shared" si="398"/>
        <v>0</v>
      </c>
      <c r="BH204" s="42">
        <f t="shared" si="399"/>
        <v>0</v>
      </c>
      <c r="BI204" s="42">
        <f t="shared" si="400"/>
        <v>0</v>
      </c>
    </row>
    <row r="205" spans="1:61" x14ac:dyDescent="0.25">
      <c r="A205" s="478"/>
      <c r="B205" s="21" t="s">
        <v>392</v>
      </c>
      <c r="C205" s="1" t="str">
        <f t="shared" si="373"/>
        <v>5/7</v>
      </c>
      <c r="D205" s="1" t="str">
        <f>IF(IF((COUNTIF(Professional_Skill_Options,'Skill Workbook'!F205)&gt;0),INDEX(Professional_Skill_Choices,MATCH(F205,Professional_Skill_Options,0)),FALSE),"X","")</f>
        <v/>
      </c>
      <c r="E205" s="1" t="str">
        <f>IF(IF((COUNTIF(Professional_Skill_Options,'Skill Workbook'!F205)&gt;0),INDEX(Professional_Skill_Knacks,MATCH(F205,Professional_Skill_Options,0)),FALSE),"X","")</f>
        <v/>
      </c>
      <c r="F205" t="s">
        <v>266</v>
      </c>
      <c r="G205" s="194" t="s">
        <v>395</v>
      </c>
      <c r="H205" s="195"/>
      <c r="I205" s="1" t="s">
        <v>193</v>
      </c>
      <c r="J205" s="48"/>
      <c r="AE205" s="1">
        <f>SUM(K205:INDEX(K205:AD205,Level))+J205</f>
        <v>0</v>
      </c>
      <c r="AF205" s="26">
        <f t="shared" si="378"/>
        <v>-35</v>
      </c>
      <c r="AG205" s="26" t="e" cm="1">
        <f t="array" aca="1" ref="AG205" ca="1">IF(I205="NA",0,INDIRECT(LEFT(I205,2))+INDIRECT(MID(I205,4,2))+INDIRECT(RIGHT(I205,2)))</f>
        <v>#N/A</v>
      </c>
      <c r="AH205" s="26">
        <f t="shared" si="379"/>
        <v>0</v>
      </c>
      <c r="AI205" s="26">
        <f t="shared" si="380"/>
        <v>0</v>
      </c>
      <c r="AJ205" s="26"/>
      <c r="AK205" s="26" t="e">
        <f t="shared" ca="1" si="401"/>
        <v>#N/A</v>
      </c>
      <c r="AL205" s="32" t="e">
        <f t="shared" ca="1" si="376"/>
        <v>#N/A</v>
      </c>
      <c r="AP205" s="42">
        <f t="shared" si="381"/>
        <v>0</v>
      </c>
      <c r="AQ205" s="42">
        <f t="shared" si="382"/>
        <v>0</v>
      </c>
      <c r="AR205" s="42">
        <f t="shared" si="383"/>
        <v>0</v>
      </c>
      <c r="AS205" s="42">
        <f t="shared" si="384"/>
        <v>0</v>
      </c>
      <c r="AT205" s="42">
        <f t="shared" si="385"/>
        <v>0</v>
      </c>
      <c r="AU205" s="42">
        <f t="shared" si="386"/>
        <v>0</v>
      </c>
      <c r="AV205" s="42">
        <f t="shared" si="387"/>
        <v>0</v>
      </c>
      <c r="AW205" s="42">
        <f t="shared" si="388"/>
        <v>0</v>
      </c>
      <c r="AX205" s="42">
        <f t="shared" si="389"/>
        <v>0</v>
      </c>
      <c r="AY205" s="42">
        <f t="shared" si="390"/>
        <v>0</v>
      </c>
      <c r="AZ205" s="42">
        <f t="shared" si="391"/>
        <v>0</v>
      </c>
      <c r="BA205" s="42">
        <f t="shared" si="392"/>
        <v>0</v>
      </c>
      <c r="BB205" s="42">
        <f t="shared" si="393"/>
        <v>0</v>
      </c>
      <c r="BC205" s="42">
        <f t="shared" si="394"/>
        <v>0</v>
      </c>
      <c r="BD205" s="42">
        <f t="shared" si="395"/>
        <v>0</v>
      </c>
      <c r="BE205" s="42">
        <f t="shared" si="396"/>
        <v>0</v>
      </c>
      <c r="BF205" s="42">
        <f t="shared" si="397"/>
        <v>0</v>
      </c>
      <c r="BG205" s="42">
        <f t="shared" si="398"/>
        <v>0</v>
      </c>
      <c r="BH205" s="42">
        <f t="shared" si="399"/>
        <v>0</v>
      </c>
      <c r="BI205" s="42">
        <f t="shared" si="400"/>
        <v>0</v>
      </c>
    </row>
    <row r="206" spans="1:61" x14ac:dyDescent="0.25">
      <c r="A206" s="478"/>
      <c r="B206" s="21" t="s">
        <v>392</v>
      </c>
      <c r="C206" s="1" t="str">
        <f t="shared" si="373"/>
        <v>5/7</v>
      </c>
      <c r="D206" s="1" t="str">
        <f>IF(IF((COUNTIF(Professional_Skill_Options,'Skill Workbook'!F206)&gt;0),INDEX(Professional_Skill_Choices,MATCH(F206,Professional_Skill_Options,0)),FALSE),"X","")</f>
        <v/>
      </c>
      <c r="E206" s="1" t="str">
        <f>IF(IF((COUNTIF(Professional_Skill_Options,'Skill Workbook'!F206)&gt;0),INDEX(Professional_Skill_Knacks,MATCH(F206,Professional_Skill_Options,0)),FALSE),"X","")</f>
        <v/>
      </c>
      <c r="F206" t="s">
        <v>266</v>
      </c>
      <c r="G206" s="194" t="s">
        <v>396</v>
      </c>
      <c r="H206" s="195"/>
      <c r="I206" s="1" t="s">
        <v>193</v>
      </c>
      <c r="J206" s="48"/>
      <c r="AE206" s="1">
        <f>SUM(K206:INDEX(K206:AD206,Level))+J206</f>
        <v>0</v>
      </c>
      <c r="AF206" s="26">
        <f t="shared" si="378"/>
        <v>-35</v>
      </c>
      <c r="AG206" s="26" t="e" cm="1">
        <f t="array" aca="1" ref="AG206" ca="1">IF(I206="NA",0,INDIRECT(LEFT(I206,2))+INDIRECT(MID(I206,4,2))+INDIRECT(RIGHT(I206,2)))</f>
        <v>#N/A</v>
      </c>
      <c r="AH206" s="26">
        <f t="shared" si="379"/>
        <v>0</v>
      </c>
      <c r="AI206" s="26">
        <f t="shared" si="380"/>
        <v>0</v>
      </c>
      <c r="AJ206" s="26"/>
      <c r="AK206" s="26" t="e">
        <f t="shared" ca="1" si="401"/>
        <v>#N/A</v>
      </c>
      <c r="AL206" s="32" t="e">
        <f t="shared" ca="1" si="376"/>
        <v>#N/A</v>
      </c>
      <c r="AP206" s="42">
        <f t="shared" si="381"/>
        <v>0</v>
      </c>
      <c r="AQ206" s="42">
        <f t="shared" si="382"/>
        <v>0</v>
      </c>
      <c r="AR206" s="42">
        <f t="shared" si="383"/>
        <v>0</v>
      </c>
      <c r="AS206" s="42">
        <f t="shared" si="384"/>
        <v>0</v>
      </c>
      <c r="AT206" s="42">
        <f t="shared" si="385"/>
        <v>0</v>
      </c>
      <c r="AU206" s="42">
        <f t="shared" si="386"/>
        <v>0</v>
      </c>
      <c r="AV206" s="42">
        <f t="shared" si="387"/>
        <v>0</v>
      </c>
      <c r="AW206" s="42">
        <f t="shared" si="388"/>
        <v>0</v>
      </c>
      <c r="AX206" s="42">
        <f t="shared" si="389"/>
        <v>0</v>
      </c>
      <c r="AY206" s="42">
        <f t="shared" si="390"/>
        <v>0</v>
      </c>
      <c r="AZ206" s="42">
        <f t="shared" si="391"/>
        <v>0</v>
      </c>
      <c r="BA206" s="42">
        <f t="shared" si="392"/>
        <v>0</v>
      </c>
      <c r="BB206" s="42">
        <f t="shared" si="393"/>
        <v>0</v>
      </c>
      <c r="BC206" s="42">
        <f t="shared" si="394"/>
        <v>0</v>
      </c>
      <c r="BD206" s="42">
        <f t="shared" si="395"/>
        <v>0</v>
      </c>
      <c r="BE206" s="42">
        <f t="shared" si="396"/>
        <v>0</v>
      </c>
      <c r="BF206" s="42">
        <f t="shared" si="397"/>
        <v>0</v>
      </c>
      <c r="BG206" s="42">
        <f t="shared" si="398"/>
        <v>0</v>
      </c>
      <c r="BH206" s="42">
        <f t="shared" si="399"/>
        <v>0</v>
      </c>
      <c r="BI206" s="42">
        <f t="shared" si="400"/>
        <v>0</v>
      </c>
    </row>
    <row r="207" spans="1:61" x14ac:dyDescent="0.25">
      <c r="A207" s="478"/>
      <c r="B207" s="21" t="s">
        <v>392</v>
      </c>
      <c r="C207" s="1" t="str">
        <f t="shared" si="373"/>
        <v>5/7</v>
      </c>
      <c r="D207" s="1" t="str">
        <f>IF(IF((COUNTIF(Professional_Skill_Options,'Skill Workbook'!F207)&gt;0),INDEX(Professional_Skill_Choices,MATCH(F207,Professional_Skill_Options,0)),FALSE),"X","")</f>
        <v/>
      </c>
      <c r="E207" s="1" t="str">
        <f>IF(IF((COUNTIF(Professional_Skill_Options,'Skill Workbook'!F207)&gt;0),INDEX(Professional_Skill_Knacks,MATCH(F207,Professional_Skill_Options,0)),FALSE),"X","")</f>
        <v/>
      </c>
      <c r="F207" t="s">
        <v>266</v>
      </c>
      <c r="G207" s="194" t="s">
        <v>397</v>
      </c>
      <c r="H207" s="195"/>
      <c r="I207" s="1" t="s">
        <v>193</v>
      </c>
      <c r="J207" s="48"/>
      <c r="AE207" s="1">
        <f>SUM(K207:INDEX(K207:AD207,Level))+J207</f>
        <v>0</v>
      </c>
      <c r="AF207" s="26">
        <f t="shared" si="378"/>
        <v>-35</v>
      </c>
      <c r="AG207" s="26" t="e" cm="1">
        <f t="array" aca="1" ref="AG207" ca="1">IF(I207="NA",0,INDIRECT(LEFT(I207,2))+INDIRECT(MID(I207,4,2))+INDIRECT(RIGHT(I207,2)))</f>
        <v>#N/A</v>
      </c>
      <c r="AH207" s="26">
        <f t="shared" si="379"/>
        <v>0</v>
      </c>
      <c r="AI207" s="26">
        <f t="shared" si="380"/>
        <v>0</v>
      </c>
      <c r="AJ207" s="26"/>
      <c r="AK207" s="26" t="e">
        <f t="shared" ca="1" si="401"/>
        <v>#N/A</v>
      </c>
      <c r="AL207" s="32" t="e">
        <f t="shared" ca="1" si="376"/>
        <v>#N/A</v>
      </c>
      <c r="AP207" s="42">
        <f t="shared" si="381"/>
        <v>0</v>
      </c>
      <c r="AQ207" s="42">
        <f t="shared" si="382"/>
        <v>0</v>
      </c>
      <c r="AR207" s="42">
        <f t="shared" si="383"/>
        <v>0</v>
      </c>
      <c r="AS207" s="42">
        <f t="shared" si="384"/>
        <v>0</v>
      </c>
      <c r="AT207" s="42">
        <f t="shared" si="385"/>
        <v>0</v>
      </c>
      <c r="AU207" s="42">
        <f t="shared" si="386"/>
        <v>0</v>
      </c>
      <c r="AV207" s="42">
        <f t="shared" si="387"/>
        <v>0</v>
      </c>
      <c r="AW207" s="42">
        <f t="shared" si="388"/>
        <v>0</v>
      </c>
      <c r="AX207" s="42">
        <f t="shared" si="389"/>
        <v>0</v>
      </c>
      <c r="AY207" s="42">
        <f t="shared" si="390"/>
        <v>0</v>
      </c>
      <c r="AZ207" s="42">
        <f t="shared" si="391"/>
        <v>0</v>
      </c>
      <c r="BA207" s="42">
        <f t="shared" si="392"/>
        <v>0</v>
      </c>
      <c r="BB207" s="42">
        <f t="shared" si="393"/>
        <v>0</v>
      </c>
      <c r="BC207" s="42">
        <f t="shared" si="394"/>
        <v>0</v>
      </c>
      <c r="BD207" s="42">
        <f t="shared" si="395"/>
        <v>0</v>
      </c>
      <c r="BE207" s="42">
        <f t="shared" si="396"/>
        <v>0</v>
      </c>
      <c r="BF207" s="42">
        <f t="shared" si="397"/>
        <v>0</v>
      </c>
      <c r="BG207" s="42">
        <f t="shared" si="398"/>
        <v>0</v>
      </c>
      <c r="BH207" s="42">
        <f t="shared" si="399"/>
        <v>0</v>
      </c>
      <c r="BI207" s="42">
        <f t="shared" si="400"/>
        <v>0</v>
      </c>
    </row>
    <row r="208" spans="1:61" x14ac:dyDescent="0.25">
      <c r="A208" s="478"/>
      <c r="B208" s="21" t="s">
        <v>392</v>
      </c>
      <c r="C208" s="1" t="str">
        <f t="shared" si="373"/>
        <v>5/7</v>
      </c>
      <c r="D208" s="1" t="str">
        <f>IF(IF((COUNTIF(Professional_Skill_Options,'Skill Workbook'!F208)&gt;0),INDEX(Professional_Skill_Choices,MATCH(F208,Professional_Skill_Options,0)),FALSE),"X","")</f>
        <v/>
      </c>
      <c r="E208" s="1" t="str">
        <f>IF(IF((COUNTIF(Professional_Skill_Options,'Skill Workbook'!F208)&gt;0),INDEX(Professional_Skill_Knacks,MATCH(F208,Professional_Skill_Options,0)),FALSE),"X","")</f>
        <v/>
      </c>
      <c r="F208" t="s">
        <v>266</v>
      </c>
      <c r="G208" s="194" t="s">
        <v>398</v>
      </c>
      <c r="H208" s="195"/>
      <c r="I208" s="1" t="s">
        <v>193</v>
      </c>
      <c r="J208" s="48"/>
      <c r="AE208" s="1">
        <f>SUM(K208:INDEX(K208:AD208,Level))+J208</f>
        <v>0</v>
      </c>
      <c r="AF208" s="26">
        <f t="shared" si="378"/>
        <v>-35</v>
      </c>
      <c r="AG208" s="26" t="e" cm="1">
        <f t="array" aca="1" ref="AG208" ca="1">IF(I208="NA",0,INDIRECT(LEFT(I208,2))+INDIRECT(MID(I208,4,2))+INDIRECT(RIGHT(I208,2)))</f>
        <v>#N/A</v>
      </c>
      <c r="AH208" s="26">
        <f t="shared" si="379"/>
        <v>0</v>
      </c>
      <c r="AI208" s="26">
        <f t="shared" si="380"/>
        <v>0</v>
      </c>
      <c r="AJ208" s="26"/>
      <c r="AK208" s="26" t="e">
        <f t="shared" ca="1" si="401"/>
        <v>#N/A</v>
      </c>
      <c r="AL208" s="32" t="e">
        <f t="shared" ca="1" si="376"/>
        <v>#N/A</v>
      </c>
      <c r="AP208" s="42">
        <f t="shared" si="381"/>
        <v>0</v>
      </c>
      <c r="AQ208" s="42">
        <f t="shared" si="382"/>
        <v>0</v>
      </c>
      <c r="AR208" s="42">
        <f t="shared" si="383"/>
        <v>0</v>
      </c>
      <c r="AS208" s="42">
        <f t="shared" si="384"/>
        <v>0</v>
      </c>
      <c r="AT208" s="42">
        <f t="shared" si="385"/>
        <v>0</v>
      </c>
      <c r="AU208" s="42">
        <f t="shared" si="386"/>
        <v>0</v>
      </c>
      <c r="AV208" s="42">
        <f t="shared" si="387"/>
        <v>0</v>
      </c>
      <c r="AW208" s="42">
        <f t="shared" si="388"/>
        <v>0</v>
      </c>
      <c r="AX208" s="42">
        <f t="shared" si="389"/>
        <v>0</v>
      </c>
      <c r="AY208" s="42">
        <f t="shared" si="390"/>
        <v>0</v>
      </c>
      <c r="AZ208" s="42">
        <f t="shared" si="391"/>
        <v>0</v>
      </c>
      <c r="BA208" s="42">
        <f t="shared" si="392"/>
        <v>0</v>
      </c>
      <c r="BB208" s="42">
        <f t="shared" si="393"/>
        <v>0</v>
      </c>
      <c r="BC208" s="42">
        <f t="shared" si="394"/>
        <v>0</v>
      </c>
      <c r="BD208" s="42">
        <f t="shared" si="395"/>
        <v>0</v>
      </c>
      <c r="BE208" s="42">
        <f t="shared" si="396"/>
        <v>0</v>
      </c>
      <c r="BF208" s="42">
        <f t="shared" si="397"/>
        <v>0</v>
      </c>
      <c r="BG208" s="42">
        <f t="shared" si="398"/>
        <v>0</v>
      </c>
      <c r="BH208" s="42">
        <f t="shared" si="399"/>
        <v>0</v>
      </c>
      <c r="BI208" s="42">
        <f t="shared" si="400"/>
        <v>0</v>
      </c>
    </row>
    <row r="209" spans="1:61" x14ac:dyDescent="0.25">
      <c r="A209" s="478"/>
      <c r="B209" s="21" t="s">
        <v>392</v>
      </c>
      <c r="C209" s="1" t="str">
        <f t="shared" si="373"/>
        <v>5/7</v>
      </c>
      <c r="D209" s="1" t="str">
        <f>IF(IF((COUNTIF(Professional_Skill_Options,'Skill Workbook'!F209)&gt;0),INDEX(Professional_Skill_Choices,MATCH(F209,Professional_Skill_Options,0)),FALSE),"X","")</f>
        <v/>
      </c>
      <c r="E209" s="1" t="str">
        <f>IF(IF((COUNTIF(Professional_Skill_Options,'Skill Workbook'!F209)&gt;0),INDEX(Professional_Skill_Knacks,MATCH(F209,Professional_Skill_Options,0)),FALSE),"X","")</f>
        <v/>
      </c>
      <c r="F209" t="s">
        <v>266</v>
      </c>
      <c r="G209" s="194" t="s">
        <v>399</v>
      </c>
      <c r="H209" s="195"/>
      <c r="I209" s="1" t="s">
        <v>193</v>
      </c>
      <c r="J209" s="48"/>
      <c r="AE209" s="1">
        <f>SUM(K209:INDEX(K209:AD209,Level))+J209</f>
        <v>0</v>
      </c>
      <c r="AF209" s="26">
        <f t="shared" si="378"/>
        <v>-35</v>
      </c>
      <c r="AG209" s="26" t="e" cm="1">
        <f t="array" aca="1" ref="AG209" ca="1">IF(I209="NA",0,INDIRECT(LEFT(I209,2))+INDIRECT(MID(I209,4,2))+INDIRECT(RIGHT(I209,2)))</f>
        <v>#N/A</v>
      </c>
      <c r="AH209" s="26">
        <f t="shared" si="379"/>
        <v>0</v>
      </c>
      <c r="AI209" s="26">
        <f t="shared" si="380"/>
        <v>0</v>
      </c>
      <c r="AJ209" s="26"/>
      <c r="AK209" s="26" t="e">
        <f t="shared" ca="1" si="401"/>
        <v>#N/A</v>
      </c>
      <c r="AL209" s="32" t="e">
        <f t="shared" ca="1" si="376"/>
        <v>#N/A</v>
      </c>
      <c r="AP209" s="42">
        <f t="shared" si="381"/>
        <v>0</v>
      </c>
      <c r="AQ209" s="42">
        <f t="shared" si="382"/>
        <v>0</v>
      </c>
      <c r="AR209" s="42">
        <f t="shared" si="383"/>
        <v>0</v>
      </c>
      <c r="AS209" s="42">
        <f t="shared" si="384"/>
        <v>0</v>
      </c>
      <c r="AT209" s="42">
        <f t="shared" si="385"/>
        <v>0</v>
      </c>
      <c r="AU209" s="42">
        <f t="shared" si="386"/>
        <v>0</v>
      </c>
      <c r="AV209" s="42">
        <f t="shared" si="387"/>
        <v>0</v>
      </c>
      <c r="AW209" s="42">
        <f t="shared" si="388"/>
        <v>0</v>
      </c>
      <c r="AX209" s="42">
        <f t="shared" si="389"/>
        <v>0</v>
      </c>
      <c r="AY209" s="42">
        <f t="shared" si="390"/>
        <v>0</v>
      </c>
      <c r="AZ209" s="42">
        <f t="shared" si="391"/>
        <v>0</v>
      </c>
      <c r="BA209" s="42">
        <f t="shared" si="392"/>
        <v>0</v>
      </c>
      <c r="BB209" s="42">
        <f t="shared" si="393"/>
        <v>0</v>
      </c>
      <c r="BC209" s="42">
        <f t="shared" si="394"/>
        <v>0</v>
      </c>
      <c r="BD209" s="42">
        <f t="shared" si="395"/>
        <v>0</v>
      </c>
      <c r="BE209" s="42">
        <f t="shared" si="396"/>
        <v>0</v>
      </c>
      <c r="BF209" s="42">
        <f t="shared" si="397"/>
        <v>0</v>
      </c>
      <c r="BG209" s="42">
        <f t="shared" si="398"/>
        <v>0</v>
      </c>
      <c r="BH209" s="42">
        <f t="shared" si="399"/>
        <v>0</v>
      </c>
      <c r="BI209" s="42">
        <f t="shared" si="400"/>
        <v>0</v>
      </c>
    </row>
    <row r="210" spans="1:61" ht="15.75" thickBot="1" x14ac:dyDescent="0.3">
      <c r="A210" s="478"/>
      <c r="B210" s="23" t="s">
        <v>392</v>
      </c>
      <c r="C210" s="24" t="str">
        <f t="shared" si="373"/>
        <v>5/7</v>
      </c>
      <c r="D210" s="24" t="str">
        <f>IF(IF((COUNTIF(Professional_Skill_Options,'Skill Workbook'!F210)&gt;0),INDEX(Professional_Skill_Choices,MATCH(F210,Professional_Skill_Options,0)),FALSE),"X","")</f>
        <v/>
      </c>
      <c r="E210" s="24" t="str">
        <f>IF(IF((COUNTIF(Professional_Skill_Options,'Skill Workbook'!F210)&gt;0),INDEX(Professional_Skill_Knacks,MATCH(F210,Professional_Skill_Options,0)),FALSE),"X","")</f>
        <v/>
      </c>
      <c r="F210" s="45" t="s">
        <v>266</v>
      </c>
      <c r="G210" s="202" t="s">
        <v>400</v>
      </c>
      <c r="H210" s="203"/>
      <c r="I210" s="24" t="s">
        <v>193</v>
      </c>
      <c r="J210" s="49"/>
      <c r="K210" s="24"/>
      <c r="L210" s="24"/>
      <c r="M210" s="24"/>
      <c r="N210" s="24"/>
      <c r="O210" s="24"/>
      <c r="P210" s="24"/>
      <c r="Q210" s="24"/>
      <c r="R210" s="24"/>
      <c r="S210" s="24"/>
      <c r="T210" s="24"/>
      <c r="U210" s="24"/>
      <c r="V210" s="24"/>
      <c r="W210" s="24"/>
      <c r="X210" s="24"/>
      <c r="Y210" s="24"/>
      <c r="Z210" s="24"/>
      <c r="AA210" s="24"/>
      <c r="AB210" s="24"/>
      <c r="AC210" s="24"/>
      <c r="AD210" s="24"/>
      <c r="AE210" s="24">
        <f>SUM(K210:INDEX(K210:AD210,Level))+J210</f>
        <v>0</v>
      </c>
      <c r="AF210" s="27">
        <f t="shared" si="378"/>
        <v>-35</v>
      </c>
      <c r="AG210" s="27" t="e" cm="1">
        <f t="array" aca="1" ref="AG210" ca="1">IF(I210="NA",0,INDIRECT(LEFT(I210,2))+INDIRECT(MID(I210,4,2))+INDIRECT(RIGHT(I210,2)))</f>
        <v>#N/A</v>
      </c>
      <c r="AH210" s="27">
        <f t="shared" si="379"/>
        <v>0</v>
      </c>
      <c r="AI210" s="27">
        <f t="shared" si="380"/>
        <v>0</v>
      </c>
      <c r="AJ210" s="27"/>
      <c r="AK210" s="27" t="e">
        <f t="shared" ca="1" si="401"/>
        <v>#N/A</v>
      </c>
      <c r="AL210" s="34" t="e">
        <f t="shared" ca="1" si="376"/>
        <v>#N/A</v>
      </c>
      <c r="AP210" s="42">
        <f t="shared" si="381"/>
        <v>0</v>
      </c>
      <c r="AQ210" s="42">
        <f t="shared" si="382"/>
        <v>0</v>
      </c>
      <c r="AR210" s="42">
        <f t="shared" si="383"/>
        <v>0</v>
      </c>
      <c r="AS210" s="42">
        <f t="shared" si="384"/>
        <v>0</v>
      </c>
      <c r="AT210" s="42">
        <f t="shared" si="385"/>
        <v>0</v>
      </c>
      <c r="AU210" s="42">
        <f t="shared" si="386"/>
        <v>0</v>
      </c>
      <c r="AV210" s="42">
        <f t="shared" si="387"/>
        <v>0</v>
      </c>
      <c r="AW210" s="42">
        <f t="shared" si="388"/>
        <v>0</v>
      </c>
      <c r="AX210" s="42">
        <f t="shared" si="389"/>
        <v>0</v>
      </c>
      <c r="AY210" s="42">
        <f t="shared" si="390"/>
        <v>0</v>
      </c>
      <c r="AZ210" s="42">
        <f t="shared" si="391"/>
        <v>0</v>
      </c>
      <c r="BA210" s="42">
        <f t="shared" si="392"/>
        <v>0</v>
      </c>
      <c r="BB210" s="42">
        <f t="shared" si="393"/>
        <v>0</v>
      </c>
      <c r="BC210" s="42">
        <f t="shared" si="394"/>
        <v>0</v>
      </c>
      <c r="BD210" s="42">
        <f t="shared" si="395"/>
        <v>0</v>
      </c>
      <c r="BE210" s="42">
        <f t="shared" si="396"/>
        <v>0</v>
      </c>
      <c r="BF210" s="42">
        <f t="shared" si="397"/>
        <v>0</v>
      </c>
      <c r="BG210" s="42">
        <f t="shared" si="398"/>
        <v>0</v>
      </c>
      <c r="BH210" s="42">
        <f t="shared" si="399"/>
        <v>0</v>
      </c>
      <c r="BI210" s="42">
        <f t="shared" si="400"/>
        <v>0</v>
      </c>
    </row>
  </sheetData>
  <mergeCells count="18">
    <mergeCell ref="A10:A176"/>
    <mergeCell ref="A177:A210"/>
    <mergeCell ref="G4:J4"/>
    <mergeCell ref="G5:J5"/>
    <mergeCell ref="G6:J6"/>
    <mergeCell ref="G111:G112"/>
    <mergeCell ref="G113:G114"/>
    <mergeCell ref="G117:G118"/>
    <mergeCell ref="G115:G116"/>
    <mergeCell ref="G119:G120"/>
    <mergeCell ref="G121:G122"/>
    <mergeCell ref="G123:G124"/>
    <mergeCell ref="AP1:BI1"/>
    <mergeCell ref="G2:J2"/>
    <mergeCell ref="G3:J3"/>
    <mergeCell ref="K1:AD1"/>
    <mergeCell ref="G109:G110"/>
    <mergeCell ref="G8:H8"/>
  </mergeCells>
  <printOptions horizontalCentered="1" gridLines="1"/>
  <pageMargins left="0.25" right="0.25" top="0.25" bottom="0.25" header="0.3" footer="0.3"/>
  <pageSetup scale="52" fitToHeight="4"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AFAD1-7B19-47D8-AE9C-64A60BDFFCED}">
  <sheetPr>
    <tabColor theme="7" tint="0.59999389629810485"/>
    <pageSetUpPr fitToPage="1"/>
  </sheetPr>
  <dimension ref="A1:AL45"/>
  <sheetViews>
    <sheetView workbookViewId="0">
      <selection activeCell="T46" sqref="T46"/>
    </sheetView>
  </sheetViews>
  <sheetFormatPr defaultColWidth="5.5703125" defaultRowHeight="15" x14ac:dyDescent="0.25"/>
  <cols>
    <col min="1" max="26" width="7.7109375" customWidth="1"/>
  </cols>
  <sheetData>
    <row r="1" spans="1:38" ht="63" thickBot="1" x14ac:dyDescent="1">
      <c r="A1" s="560" t="s">
        <v>0</v>
      </c>
      <c r="B1" s="561"/>
      <c r="C1" s="561"/>
      <c r="D1" s="561"/>
      <c r="E1" s="561"/>
      <c r="F1" s="561"/>
      <c r="G1" s="561"/>
      <c r="H1" s="561"/>
      <c r="I1" s="561"/>
      <c r="J1" s="561"/>
      <c r="K1" s="561"/>
      <c r="L1" s="561"/>
      <c r="M1" s="561"/>
      <c r="N1" s="561"/>
      <c r="O1" s="561"/>
      <c r="P1" s="561"/>
      <c r="Q1" s="561"/>
      <c r="R1" s="561"/>
      <c r="S1" s="561"/>
      <c r="T1" s="561"/>
      <c r="U1" s="561"/>
      <c r="V1" s="561"/>
      <c r="W1" s="561"/>
      <c r="X1" s="561"/>
      <c r="Y1" s="561"/>
      <c r="Z1" s="562"/>
    </row>
    <row r="2" spans="1:38" ht="21" x14ac:dyDescent="0.35">
      <c r="A2" s="483" t="s">
        <v>1</v>
      </c>
      <c r="B2" s="484"/>
      <c r="C2" s="484"/>
      <c r="D2" s="521"/>
      <c r="E2" s="521"/>
      <c r="F2" s="521"/>
      <c r="G2" s="521"/>
      <c r="H2" s="521"/>
      <c r="I2" s="521"/>
      <c r="J2" s="521"/>
      <c r="K2" s="522"/>
      <c r="L2" s="523"/>
      <c r="M2" s="483" t="s">
        <v>4</v>
      </c>
      <c r="N2" s="484"/>
      <c r="O2" s="484"/>
      <c r="P2" s="515"/>
      <c r="Q2" s="516"/>
      <c r="R2" s="557" t="s">
        <v>799</v>
      </c>
      <c r="S2" s="558"/>
      <c r="T2" s="558"/>
      <c r="U2" s="558"/>
      <c r="V2" s="558"/>
      <c r="W2" s="558"/>
      <c r="X2" s="558"/>
      <c r="Y2" s="558"/>
      <c r="Z2" s="559"/>
    </row>
    <row r="3" spans="1:38" ht="15.75" thickBot="1" x14ac:dyDescent="0.3">
      <c r="A3" s="485" t="s">
        <v>2</v>
      </c>
      <c r="B3" s="486"/>
      <c r="C3" s="486"/>
      <c r="D3" s="524"/>
      <c r="E3" s="524"/>
      <c r="F3" s="524"/>
      <c r="G3" s="524"/>
      <c r="H3" s="524"/>
      <c r="I3" s="524"/>
      <c r="J3" s="524"/>
      <c r="K3" s="525"/>
      <c r="L3" s="526"/>
      <c r="M3" s="485" t="s">
        <v>5</v>
      </c>
      <c r="N3" s="486"/>
      <c r="O3" s="486"/>
      <c r="P3" s="517">
        <v>0</v>
      </c>
      <c r="Q3" s="518"/>
      <c r="R3" s="224" t="s">
        <v>796</v>
      </c>
      <c r="S3" s="216"/>
      <c r="T3" s="552" t="s">
        <v>537</v>
      </c>
      <c r="U3" s="553"/>
      <c r="V3" s="553"/>
      <c r="W3" s="554"/>
      <c r="X3" s="217" t="s">
        <v>76</v>
      </c>
      <c r="Y3" s="217" t="s">
        <v>28</v>
      </c>
      <c r="Z3" s="225" t="s">
        <v>970</v>
      </c>
    </row>
    <row r="4" spans="1:38" ht="15.75" customHeight="1" thickBot="1" x14ac:dyDescent="0.3">
      <c r="A4" s="485" t="s">
        <v>3</v>
      </c>
      <c r="B4" s="486"/>
      <c r="C4" s="486"/>
      <c r="D4" s="527"/>
      <c r="E4" s="527"/>
      <c r="F4" s="527"/>
      <c r="G4" s="527"/>
      <c r="H4" s="527"/>
      <c r="I4" s="527"/>
      <c r="J4" s="528"/>
      <c r="K4" s="529"/>
      <c r="L4" s="530"/>
      <c r="M4" s="487" t="s">
        <v>6</v>
      </c>
      <c r="N4" s="488"/>
      <c r="O4" s="488"/>
      <c r="P4" s="519">
        <f>P2*10000</f>
        <v>0</v>
      </c>
      <c r="Q4" s="520"/>
      <c r="R4" s="533" t="str">
        <f>'Skill Workbook'!F177</f>
        <v>Base Spells</v>
      </c>
      <c r="S4" s="524"/>
      <c r="T4" s="555" t="str">
        <f>IF('Skill Workbook'!G177="","",'Skill Workbook'!G177)</f>
        <v/>
      </c>
      <c r="U4" s="555"/>
      <c r="V4" s="555"/>
      <c r="W4" s="555"/>
      <c r="X4" s="3">
        <f>'Skill Workbook'!AE177</f>
        <v>0</v>
      </c>
      <c r="Y4" s="4" t="e">
        <f ca="1">'Skill Workbook'!AL177</f>
        <v>#N/A</v>
      </c>
      <c r="Z4" s="73">
        <f>'Skill Workbook'!AE177+RS+IF(R4="Base Spells",5,IF(R4="Open Spells",0,IF(R4="Closed Spells",-5,-10)))</f>
        <v>5</v>
      </c>
      <c r="AC4" s="444" t="s">
        <v>975</v>
      </c>
      <c r="AD4" s="453"/>
      <c r="AE4" s="453"/>
      <c r="AF4" s="453"/>
      <c r="AG4" s="453"/>
      <c r="AH4" s="453"/>
      <c r="AI4" s="453"/>
      <c r="AJ4" s="453"/>
      <c r="AK4" s="453"/>
      <c r="AL4" s="454"/>
    </row>
    <row r="5" spans="1:38" ht="15.75" customHeight="1" x14ac:dyDescent="0.25">
      <c r="A5" s="483" t="s">
        <v>7</v>
      </c>
      <c r="B5" s="484"/>
      <c r="C5" s="513" t="str">
        <f>Race</f>
        <v>Undefined</v>
      </c>
      <c r="D5" s="513"/>
      <c r="E5" s="513"/>
      <c r="F5" s="484" t="s">
        <v>414</v>
      </c>
      <c r="G5" s="484"/>
      <c r="H5" s="513">
        <f>Gender</f>
        <v>0</v>
      </c>
      <c r="I5" s="514"/>
      <c r="J5" s="563" t="s">
        <v>798</v>
      </c>
      <c r="K5" s="548"/>
      <c r="L5" s="548"/>
      <c r="M5" s="564"/>
      <c r="N5" s="84">
        <f>MAX(SUMIF(Q6:Q30,"&gt;0")-10,0)+SUMIF(Q6:Q30,"&lt;0")</f>
        <v>0</v>
      </c>
      <c r="O5" s="84" t="s">
        <v>521</v>
      </c>
      <c r="P5" s="222" t="s">
        <v>797</v>
      </c>
      <c r="Q5" s="85" t="s">
        <v>408</v>
      </c>
      <c r="R5" s="533" t="str">
        <f>'Skill Workbook'!F178</f>
        <v>Base Spells</v>
      </c>
      <c r="S5" s="524"/>
      <c r="T5" s="555" t="str">
        <f>IF('Skill Workbook'!G178="","",'Skill Workbook'!G178)</f>
        <v/>
      </c>
      <c r="U5" s="555"/>
      <c r="V5" s="555"/>
      <c r="W5" s="555"/>
      <c r="X5" s="3">
        <f>'Skill Workbook'!AE178</f>
        <v>0</v>
      </c>
      <c r="Y5" s="4" t="e">
        <f ca="1">'Skill Workbook'!AL178</f>
        <v>#N/A</v>
      </c>
      <c r="Z5" s="73">
        <f>'Skill Workbook'!AE178+RS+IF(R5="Base Spells",5,IF(R5="Open Spells",0,IF(R5="Closed Spells",-5,-10)))</f>
        <v>5</v>
      </c>
      <c r="AC5" s="455"/>
      <c r="AD5" s="456"/>
      <c r="AE5" s="456"/>
      <c r="AF5" s="456"/>
      <c r="AG5" s="456"/>
      <c r="AH5" s="456"/>
      <c r="AI5" s="456"/>
      <c r="AJ5" s="456"/>
      <c r="AK5" s="456"/>
      <c r="AL5" s="457"/>
    </row>
    <row r="6" spans="1:38" x14ac:dyDescent="0.25">
      <c r="A6" s="485" t="s">
        <v>8</v>
      </c>
      <c r="B6" s="486"/>
      <c r="C6" s="498" t="str">
        <f>Culture</f>
        <v>Undefined</v>
      </c>
      <c r="D6" s="498"/>
      <c r="E6" s="498"/>
      <c r="F6" s="486" t="s">
        <v>11</v>
      </c>
      <c r="G6" s="486"/>
      <c r="H6" s="498">
        <f>'Base Details'!H16</f>
        <v>0</v>
      </c>
      <c r="I6" s="499"/>
      <c r="J6" s="534"/>
      <c r="K6" s="535"/>
      <c r="L6" s="535"/>
      <c r="M6" s="535"/>
      <c r="N6" s="536"/>
      <c r="O6" s="81"/>
      <c r="P6" s="134"/>
      <c r="Q6" s="82"/>
      <c r="R6" s="533" t="str">
        <f>'Skill Workbook'!F179</f>
        <v>Base Spells</v>
      </c>
      <c r="S6" s="524"/>
      <c r="T6" s="555" t="str">
        <f>IF('Skill Workbook'!G179="","",'Skill Workbook'!G179)</f>
        <v/>
      </c>
      <c r="U6" s="555"/>
      <c r="V6" s="555"/>
      <c r="W6" s="555"/>
      <c r="X6" s="3">
        <f>'Skill Workbook'!AE179</f>
        <v>0</v>
      </c>
      <c r="Y6" s="4" t="e">
        <f ca="1">'Skill Workbook'!AL179</f>
        <v>#N/A</v>
      </c>
      <c r="Z6" s="73">
        <f>'Skill Workbook'!AE179+RS+IF(R6="Base Spells",5,IF(R6="Open Spells",0,IF(R6="Closed Spells",-5,-10)))</f>
        <v>5</v>
      </c>
      <c r="AC6" s="455"/>
      <c r="AD6" s="456"/>
      <c r="AE6" s="456"/>
      <c r="AF6" s="456"/>
      <c r="AG6" s="456"/>
      <c r="AH6" s="456"/>
      <c r="AI6" s="456"/>
      <c r="AJ6" s="456"/>
      <c r="AK6" s="456"/>
      <c r="AL6" s="457"/>
    </row>
    <row r="7" spans="1:38" x14ac:dyDescent="0.25">
      <c r="A7" s="485" t="s">
        <v>9</v>
      </c>
      <c r="B7" s="486"/>
      <c r="C7" s="498" t="str">
        <f>'Base Details'!H45</f>
        <v>No Profession</v>
      </c>
      <c r="D7" s="498"/>
      <c r="E7" s="498"/>
      <c r="F7" s="486" t="s">
        <v>31</v>
      </c>
      <c r="G7" s="486"/>
      <c r="H7" s="498" t="e">
        <f>VLOOKUP(Race,Table_Race,20,FALSE)</f>
        <v>#N/A</v>
      </c>
      <c r="I7" s="499"/>
      <c r="J7" s="534"/>
      <c r="K7" s="535"/>
      <c r="L7" s="535"/>
      <c r="M7" s="535"/>
      <c r="N7" s="536"/>
      <c r="O7" s="3"/>
      <c r="P7" s="215"/>
      <c r="Q7" s="7"/>
      <c r="R7" s="533" t="str">
        <f>'Skill Workbook'!F180</f>
        <v>Base Spells</v>
      </c>
      <c r="S7" s="524"/>
      <c r="T7" s="555" t="str">
        <f>IF('Skill Workbook'!G180="","",'Skill Workbook'!G180)</f>
        <v/>
      </c>
      <c r="U7" s="555"/>
      <c r="V7" s="555"/>
      <c r="W7" s="555"/>
      <c r="X7" s="3">
        <f>'Skill Workbook'!AE180</f>
        <v>0</v>
      </c>
      <c r="Y7" s="4" t="e">
        <f ca="1">'Skill Workbook'!AL180</f>
        <v>#N/A</v>
      </c>
      <c r="Z7" s="73">
        <f>'Skill Workbook'!AE180+RS+IF(R7="Base Spells",5,IF(R7="Open Spells",0,IF(R7="Closed Spells",-5,-10)))</f>
        <v>5</v>
      </c>
      <c r="AC7" s="455"/>
      <c r="AD7" s="456"/>
      <c r="AE7" s="456"/>
      <c r="AF7" s="456"/>
      <c r="AG7" s="456"/>
      <c r="AH7" s="456"/>
      <c r="AI7" s="456"/>
      <c r="AJ7" s="456"/>
      <c r="AK7" s="456"/>
      <c r="AL7" s="457"/>
    </row>
    <row r="8" spans="1:38" x14ac:dyDescent="0.25">
      <c r="A8" s="485" t="s">
        <v>10</v>
      </c>
      <c r="B8" s="486"/>
      <c r="C8" s="506">
        <f>Realm</f>
        <v>0</v>
      </c>
      <c r="D8" s="507"/>
      <c r="E8" s="508"/>
      <c r="F8" s="486" t="s">
        <v>44</v>
      </c>
      <c r="G8" s="486"/>
      <c r="H8" s="498" t="e">
        <f>'Base Details'!O85</f>
        <v>#N/A</v>
      </c>
      <c r="I8" s="499"/>
      <c r="J8" s="534"/>
      <c r="K8" s="535"/>
      <c r="L8" s="535"/>
      <c r="M8" s="535"/>
      <c r="N8" s="536"/>
      <c r="O8" s="3"/>
      <c r="P8" s="215"/>
      <c r="Q8" s="7"/>
      <c r="R8" s="533" t="str">
        <f>'Skill Workbook'!F181</f>
        <v>Base Spells</v>
      </c>
      <c r="S8" s="524"/>
      <c r="T8" s="555" t="str">
        <f>IF('Skill Workbook'!G181="","",'Skill Workbook'!G181)</f>
        <v/>
      </c>
      <c r="U8" s="555"/>
      <c r="V8" s="555"/>
      <c r="W8" s="555"/>
      <c r="X8" s="3">
        <f>'Skill Workbook'!AE181</f>
        <v>0</v>
      </c>
      <c r="Y8" s="4" t="e">
        <f ca="1">'Skill Workbook'!AL181</f>
        <v>#N/A</v>
      </c>
      <c r="Z8" s="73">
        <f>'Skill Workbook'!AE181+RS+IF(R8="Base Spells",5,IF(R8="Open Spells",0,IF(R8="Closed Spells",-5,-10)))</f>
        <v>5</v>
      </c>
      <c r="AC8" s="455"/>
      <c r="AD8" s="456"/>
      <c r="AE8" s="456"/>
      <c r="AF8" s="456"/>
      <c r="AG8" s="456"/>
      <c r="AH8" s="456"/>
      <c r="AI8" s="456"/>
      <c r="AJ8" s="456"/>
      <c r="AK8" s="456"/>
      <c r="AL8" s="457"/>
    </row>
    <row r="9" spans="1:38" ht="15.75" thickBot="1" x14ac:dyDescent="0.3">
      <c r="A9" s="485" t="s">
        <v>70</v>
      </c>
      <c r="B9" s="486"/>
      <c r="C9" s="502" t="e">
        <f>IF(Race="",0,VLOOKUP(Race,Table_Race,19,FALSE))</f>
        <v>#N/A</v>
      </c>
      <c r="D9" s="502"/>
      <c r="E9" s="502"/>
      <c r="F9" s="486" t="s">
        <v>43</v>
      </c>
      <c r="G9" s="486"/>
      <c r="H9" s="504" t="e">
        <f>'Base Details'!S88</f>
        <v>#N/A</v>
      </c>
      <c r="I9" s="505"/>
      <c r="J9" s="534"/>
      <c r="K9" s="535"/>
      <c r="L9" s="535"/>
      <c r="M9" s="535"/>
      <c r="N9" s="536"/>
      <c r="O9" s="3"/>
      <c r="P9" s="215"/>
      <c r="Q9" s="7"/>
      <c r="R9" s="533" t="str">
        <f>'Skill Workbook'!F182</f>
        <v>Base Spells</v>
      </c>
      <c r="S9" s="524"/>
      <c r="T9" s="555" t="str">
        <f>IF('Skill Workbook'!G182="","",'Skill Workbook'!G182)</f>
        <v/>
      </c>
      <c r="U9" s="555"/>
      <c r="V9" s="555"/>
      <c r="W9" s="555"/>
      <c r="X9" s="3">
        <f>'Skill Workbook'!AE182</f>
        <v>0</v>
      </c>
      <c r="Y9" s="4" t="e">
        <f ca="1">'Skill Workbook'!AL182</f>
        <v>#N/A</v>
      </c>
      <c r="Z9" s="73">
        <f>'Skill Workbook'!AE182+RS+IF(R9="Base Spells",5,IF(R9="Open Spells",0,IF(R9="Closed Spells",-5,-10)))</f>
        <v>5</v>
      </c>
      <c r="AC9" s="458"/>
      <c r="AD9" s="459"/>
      <c r="AE9" s="459"/>
      <c r="AF9" s="459"/>
      <c r="AG9" s="459"/>
      <c r="AH9" s="459"/>
      <c r="AI9" s="459"/>
      <c r="AJ9" s="459"/>
      <c r="AK9" s="459"/>
      <c r="AL9" s="460"/>
    </row>
    <row r="10" spans="1:38" x14ac:dyDescent="0.25">
      <c r="A10" s="485" t="s">
        <v>71</v>
      </c>
      <c r="B10" s="486"/>
      <c r="C10" s="490" t="e">
        <f>IF(Race="",0,VLOOKUP(Race,Table_Race,2,FALSE))</f>
        <v>#N/A</v>
      </c>
      <c r="D10" s="509"/>
      <c r="E10" s="491"/>
      <c r="F10" s="486" t="s">
        <v>13</v>
      </c>
      <c r="G10" s="486"/>
      <c r="H10" s="502" t="str">
        <f>'Base Details'!N89</f>
        <v>Light</v>
      </c>
      <c r="I10" s="503"/>
      <c r="J10" s="534"/>
      <c r="K10" s="535"/>
      <c r="L10" s="535"/>
      <c r="M10" s="535"/>
      <c r="N10" s="536"/>
      <c r="O10" s="3"/>
      <c r="P10" s="215"/>
      <c r="Q10" s="7"/>
      <c r="R10" s="533" t="str">
        <f>'Skill Workbook'!F183</f>
        <v>Open Spells</v>
      </c>
      <c r="S10" s="524"/>
      <c r="T10" s="555" t="str">
        <f>IF('Skill Workbook'!G183="","",'Skill Workbook'!G183)</f>
        <v/>
      </c>
      <c r="U10" s="555"/>
      <c r="V10" s="555"/>
      <c r="W10" s="555"/>
      <c r="X10" s="3">
        <f>'Skill Workbook'!AE183</f>
        <v>0</v>
      </c>
      <c r="Y10" s="4" t="e">
        <f ca="1">'Skill Workbook'!AL183</f>
        <v>#N/A</v>
      </c>
      <c r="Z10" s="73">
        <f>'Skill Workbook'!AE183+RS+IF(R10="Base Spells",5,IF(R10="Open Spells",0,IF(R10="Closed Spells",-5,-10)))</f>
        <v>0</v>
      </c>
    </row>
    <row r="11" spans="1:38" ht="15.75" thickBot="1" x14ac:dyDescent="0.3">
      <c r="A11" s="487" t="s">
        <v>72</v>
      </c>
      <c r="B11" s="488"/>
      <c r="C11" s="510" t="e">
        <f>IF(Race="",0,VLOOKUP(Race,Table_Race,17,FALSE))</f>
        <v>#N/A</v>
      </c>
      <c r="D11" s="511"/>
      <c r="E11" s="512"/>
      <c r="F11" s="488" t="s">
        <v>45</v>
      </c>
      <c r="G11" s="488"/>
      <c r="H11" s="500" t="e">
        <f>'Base Details'!O89</f>
        <v>#N/A</v>
      </c>
      <c r="I11" s="501"/>
      <c r="J11" s="534"/>
      <c r="K11" s="535"/>
      <c r="L11" s="535"/>
      <c r="M11" s="535"/>
      <c r="N11" s="536"/>
      <c r="O11" s="3"/>
      <c r="P11" s="215"/>
      <c r="Q11" s="7"/>
      <c r="R11" s="533" t="str">
        <f>'Skill Workbook'!F184</f>
        <v>Open Spells</v>
      </c>
      <c r="S11" s="524"/>
      <c r="T11" s="555" t="str">
        <f>IF('Skill Workbook'!G184="","",'Skill Workbook'!G184)</f>
        <v/>
      </c>
      <c r="U11" s="555"/>
      <c r="V11" s="555"/>
      <c r="W11" s="555"/>
      <c r="X11" s="3">
        <f>'Skill Workbook'!AE184</f>
        <v>0</v>
      </c>
      <c r="Y11" s="4" t="e">
        <f ca="1">'Skill Workbook'!AL184</f>
        <v>#N/A</v>
      </c>
      <c r="Z11" s="73">
        <f>'Skill Workbook'!AE184+RS+IF(R11="Base Spells",5,IF(R11="Open Spells",0,IF(R11="Closed Spells",-5,-10)))</f>
        <v>0</v>
      </c>
    </row>
    <row r="12" spans="1:38" x14ac:dyDescent="0.25">
      <c r="A12" s="485" t="s">
        <v>15</v>
      </c>
      <c r="B12" s="486"/>
      <c r="C12" s="486"/>
      <c r="D12" s="74" t="s">
        <v>26</v>
      </c>
      <c r="E12" s="74" t="s">
        <v>27</v>
      </c>
      <c r="F12" s="218" t="s">
        <v>28</v>
      </c>
      <c r="G12" s="74" t="s">
        <v>7</v>
      </c>
      <c r="H12" s="74" t="s">
        <v>30</v>
      </c>
      <c r="I12" s="97" t="s">
        <v>29</v>
      </c>
      <c r="J12" s="534"/>
      <c r="K12" s="535"/>
      <c r="L12" s="535"/>
      <c r="M12" s="535"/>
      <c r="N12" s="536"/>
      <c r="O12" s="3"/>
      <c r="P12" s="215"/>
      <c r="Q12" s="7"/>
      <c r="R12" s="533" t="str">
        <f>'Skill Workbook'!F185</f>
        <v>Open Spells</v>
      </c>
      <c r="S12" s="524"/>
      <c r="T12" s="555" t="str">
        <f>IF('Skill Workbook'!G185="","",'Skill Workbook'!G185)</f>
        <v/>
      </c>
      <c r="U12" s="555"/>
      <c r="V12" s="555"/>
      <c r="W12" s="555"/>
      <c r="X12" s="3">
        <f>'Skill Workbook'!AE185</f>
        <v>0</v>
      </c>
      <c r="Y12" s="4" t="e">
        <f ca="1">'Skill Workbook'!AL185</f>
        <v>#N/A</v>
      </c>
      <c r="Z12" s="73">
        <f>'Skill Workbook'!AE185+RS+IF(R12="Base Spells",5,IF(R12="Open Spells",0,IF(R12="Closed Spells",-5,-10)))</f>
        <v>0</v>
      </c>
      <c r="AC12" s="444" t="s">
        <v>973</v>
      </c>
      <c r="AD12" s="453"/>
      <c r="AE12" s="453"/>
      <c r="AF12" s="453"/>
      <c r="AG12" s="453"/>
      <c r="AH12" s="453"/>
      <c r="AI12" s="453"/>
      <c r="AJ12" s="453"/>
      <c r="AK12" s="453"/>
      <c r="AL12" s="454"/>
    </row>
    <row r="13" spans="1:38" x14ac:dyDescent="0.25">
      <c r="A13" s="485" t="s">
        <v>16</v>
      </c>
      <c r="B13" s="486"/>
      <c r="C13" s="486"/>
      <c r="D13" s="3">
        <f>'Base Details'!I74</f>
        <v>0</v>
      </c>
      <c r="E13" s="3">
        <f>'Base Details'!H74</f>
        <v>0</v>
      </c>
      <c r="F13" s="114">
        <f>VLOOKUP(E13,Stat_Bonus,2,FALSE)</f>
        <v>-20</v>
      </c>
      <c r="G13" s="103" t="e">
        <f>IF(Race="",0,VLOOKUP(Race,Table_Race,3,FALSE))</f>
        <v>#N/A</v>
      </c>
      <c r="H13" s="4"/>
      <c r="I13" s="115" t="e">
        <f t="shared" ref="I13:I22" si="0">SUM(F13:H13)</f>
        <v>#N/A</v>
      </c>
      <c r="J13" s="534"/>
      <c r="K13" s="535"/>
      <c r="L13" s="535"/>
      <c r="M13" s="535"/>
      <c r="N13" s="536"/>
      <c r="O13" s="3"/>
      <c r="P13" s="215"/>
      <c r="Q13" s="7"/>
      <c r="R13" s="533" t="str">
        <f>'Skill Workbook'!F186</f>
        <v>Open Spells</v>
      </c>
      <c r="S13" s="524"/>
      <c r="T13" s="555" t="str">
        <f>IF('Skill Workbook'!G186="","",'Skill Workbook'!G186)</f>
        <v/>
      </c>
      <c r="U13" s="555"/>
      <c r="V13" s="555"/>
      <c r="W13" s="555"/>
      <c r="X13" s="3">
        <f>'Skill Workbook'!AE186</f>
        <v>0</v>
      </c>
      <c r="Y13" s="4" t="e">
        <f ca="1">'Skill Workbook'!AL186</f>
        <v>#N/A</v>
      </c>
      <c r="Z13" s="73">
        <f>'Skill Workbook'!AE186+RS+IF(R13="Base Spells",5,IF(R13="Open Spells",0,IF(R13="Closed Spells",-5,-10)))</f>
        <v>0</v>
      </c>
      <c r="AC13" s="455"/>
      <c r="AD13" s="456"/>
      <c r="AE13" s="456"/>
      <c r="AF13" s="456"/>
      <c r="AG13" s="456"/>
      <c r="AH13" s="456"/>
      <c r="AI13" s="456"/>
      <c r="AJ13" s="456"/>
      <c r="AK13" s="456"/>
      <c r="AL13" s="457"/>
    </row>
    <row r="14" spans="1:38" x14ac:dyDescent="0.25">
      <c r="A14" s="485" t="s">
        <v>17</v>
      </c>
      <c r="B14" s="486"/>
      <c r="C14" s="486"/>
      <c r="D14" s="3">
        <f>'Base Details'!I75</f>
        <v>0</v>
      </c>
      <c r="E14" s="3">
        <f>'Base Details'!H75</f>
        <v>0</v>
      </c>
      <c r="F14" s="114">
        <f t="shared" ref="F14:F22" si="1">VLOOKUP(E14,Stat_Bonus,2,FALSE)</f>
        <v>-20</v>
      </c>
      <c r="G14" s="103" t="e">
        <f>IF(Race="",0,VLOOKUP(Race,Table_Race,4,FALSE))</f>
        <v>#N/A</v>
      </c>
      <c r="H14" s="4"/>
      <c r="I14" s="115" t="e">
        <f t="shared" si="0"/>
        <v>#N/A</v>
      </c>
      <c r="J14" s="534"/>
      <c r="K14" s="535"/>
      <c r="L14" s="535"/>
      <c r="M14" s="535"/>
      <c r="N14" s="536"/>
      <c r="O14" s="3"/>
      <c r="P14" s="215"/>
      <c r="Q14" s="7"/>
      <c r="R14" s="533" t="str">
        <f>'Skill Workbook'!F187</f>
        <v>Open Spells</v>
      </c>
      <c r="S14" s="524"/>
      <c r="T14" s="555" t="str">
        <f>IF('Skill Workbook'!G187="","",'Skill Workbook'!G187)</f>
        <v/>
      </c>
      <c r="U14" s="555"/>
      <c r="V14" s="555"/>
      <c r="W14" s="555"/>
      <c r="X14" s="3">
        <f>'Skill Workbook'!AE187</f>
        <v>0</v>
      </c>
      <c r="Y14" s="4" t="e">
        <f ca="1">'Skill Workbook'!AL187</f>
        <v>#N/A</v>
      </c>
      <c r="Z14" s="73">
        <f>'Skill Workbook'!AE187+RS+IF(R14="Base Spells",5,IF(R14="Open Spells",0,IF(R14="Closed Spells",-5,-10)))</f>
        <v>0</v>
      </c>
      <c r="AC14" s="455"/>
      <c r="AD14" s="456"/>
      <c r="AE14" s="456"/>
      <c r="AF14" s="456"/>
      <c r="AG14" s="456"/>
      <c r="AH14" s="456"/>
      <c r="AI14" s="456"/>
      <c r="AJ14" s="456"/>
      <c r="AK14" s="456"/>
      <c r="AL14" s="457"/>
    </row>
    <row r="15" spans="1:38" x14ac:dyDescent="0.25">
      <c r="A15" s="485" t="s">
        <v>18</v>
      </c>
      <c r="B15" s="486"/>
      <c r="C15" s="486"/>
      <c r="D15" s="3">
        <f>'Base Details'!I76</f>
        <v>0</v>
      </c>
      <c r="E15" s="3">
        <f>'Base Details'!H76</f>
        <v>0</v>
      </c>
      <c r="F15" s="114">
        <f t="shared" si="1"/>
        <v>-20</v>
      </c>
      <c r="G15" s="103" t="e">
        <f>IF(Race="",0,VLOOKUP(Race,Table_Race,5,FALSE))</f>
        <v>#N/A</v>
      </c>
      <c r="H15" s="4"/>
      <c r="I15" s="115" t="e">
        <f t="shared" si="0"/>
        <v>#N/A</v>
      </c>
      <c r="J15" s="534"/>
      <c r="K15" s="535"/>
      <c r="L15" s="535"/>
      <c r="M15" s="535"/>
      <c r="N15" s="536"/>
      <c r="O15" s="3"/>
      <c r="P15" s="215"/>
      <c r="Q15" s="7"/>
      <c r="R15" s="533" t="str">
        <f>'Skill Workbook'!F188</f>
        <v>Open Spells</v>
      </c>
      <c r="S15" s="524"/>
      <c r="T15" s="555" t="str">
        <f>IF('Skill Workbook'!G188="","",'Skill Workbook'!G188)</f>
        <v/>
      </c>
      <c r="U15" s="555"/>
      <c r="V15" s="555"/>
      <c r="W15" s="555"/>
      <c r="X15" s="3">
        <f>'Skill Workbook'!AE188</f>
        <v>0</v>
      </c>
      <c r="Y15" s="4" t="e">
        <f ca="1">'Skill Workbook'!AL188</f>
        <v>#N/A</v>
      </c>
      <c r="Z15" s="73">
        <f>'Skill Workbook'!AE188+RS+IF(R15="Base Spells",5,IF(R15="Open Spells",0,IF(R15="Closed Spells",-5,-10)))</f>
        <v>0</v>
      </c>
      <c r="AC15" s="455"/>
      <c r="AD15" s="456"/>
      <c r="AE15" s="456"/>
      <c r="AF15" s="456"/>
      <c r="AG15" s="456"/>
      <c r="AH15" s="456"/>
      <c r="AI15" s="456"/>
      <c r="AJ15" s="456"/>
      <c r="AK15" s="456"/>
      <c r="AL15" s="457"/>
    </row>
    <row r="16" spans="1:38" x14ac:dyDescent="0.25">
      <c r="A16" s="485" t="s">
        <v>19</v>
      </c>
      <c r="B16" s="486"/>
      <c r="C16" s="486"/>
      <c r="D16" s="3">
        <f>'Base Details'!I77</f>
        <v>0</v>
      </c>
      <c r="E16" s="3">
        <f>'Base Details'!H77</f>
        <v>0</v>
      </c>
      <c r="F16" s="114">
        <f t="shared" si="1"/>
        <v>-20</v>
      </c>
      <c r="G16" s="103" t="e">
        <f>IF(Race="",0,VLOOKUP(Race,Table_Race,6,FALSE))</f>
        <v>#N/A</v>
      </c>
      <c r="H16" s="4"/>
      <c r="I16" s="115" t="e">
        <f t="shared" si="0"/>
        <v>#N/A</v>
      </c>
      <c r="J16" s="534"/>
      <c r="K16" s="535"/>
      <c r="L16" s="535"/>
      <c r="M16" s="535"/>
      <c r="N16" s="536"/>
      <c r="O16" s="3"/>
      <c r="P16" s="215"/>
      <c r="Q16" s="7"/>
      <c r="R16" s="533" t="str">
        <f>'Skill Workbook'!F189</f>
        <v>Open Spells</v>
      </c>
      <c r="S16" s="524"/>
      <c r="T16" s="555" t="str">
        <f>IF('Skill Workbook'!G189="","",'Skill Workbook'!G189)</f>
        <v/>
      </c>
      <c r="U16" s="555"/>
      <c r="V16" s="555"/>
      <c r="W16" s="555"/>
      <c r="X16" s="3">
        <f>'Skill Workbook'!AE189</f>
        <v>0</v>
      </c>
      <c r="Y16" s="4" t="e">
        <f ca="1">'Skill Workbook'!AL189</f>
        <v>#N/A</v>
      </c>
      <c r="Z16" s="73">
        <f>'Skill Workbook'!AE189+RS+IF(R16="Base Spells",5,IF(R16="Open Spells",0,IF(R16="Closed Spells",-5,-10)))</f>
        <v>0</v>
      </c>
      <c r="AC16" s="455"/>
      <c r="AD16" s="456"/>
      <c r="AE16" s="456"/>
      <c r="AF16" s="456"/>
      <c r="AG16" s="456"/>
      <c r="AH16" s="456"/>
      <c r="AI16" s="456"/>
      <c r="AJ16" s="456"/>
      <c r="AK16" s="456"/>
      <c r="AL16" s="457"/>
    </row>
    <row r="17" spans="1:38" x14ac:dyDescent="0.25">
      <c r="A17" s="485" t="s">
        <v>20</v>
      </c>
      <c r="B17" s="486"/>
      <c r="C17" s="486"/>
      <c r="D17" s="3">
        <f>'Base Details'!I78</f>
        <v>0</v>
      </c>
      <c r="E17" s="3">
        <f>'Base Details'!H78</f>
        <v>0</v>
      </c>
      <c r="F17" s="114">
        <f t="shared" si="1"/>
        <v>-20</v>
      </c>
      <c r="G17" s="103" t="e">
        <f>IF(Race="",0,VLOOKUP(Race,Table_Race,7,FALSE))</f>
        <v>#N/A</v>
      </c>
      <c r="H17" s="4"/>
      <c r="I17" s="115" t="e">
        <f t="shared" si="0"/>
        <v>#N/A</v>
      </c>
      <c r="J17" s="534"/>
      <c r="K17" s="535"/>
      <c r="L17" s="535"/>
      <c r="M17" s="535"/>
      <c r="N17" s="536"/>
      <c r="O17" s="3"/>
      <c r="P17" s="215"/>
      <c r="Q17" s="7"/>
      <c r="R17" s="533" t="str">
        <f>'Skill Workbook'!F190</f>
        <v>Open Spells</v>
      </c>
      <c r="S17" s="524"/>
      <c r="T17" s="555" t="str">
        <f>IF('Skill Workbook'!G190="","",'Skill Workbook'!G190)</f>
        <v/>
      </c>
      <c r="U17" s="555"/>
      <c r="V17" s="555"/>
      <c r="W17" s="555"/>
      <c r="X17" s="3">
        <f>'Skill Workbook'!AE190</f>
        <v>0</v>
      </c>
      <c r="Y17" s="4" t="e">
        <f ca="1">'Skill Workbook'!AL190</f>
        <v>#N/A</v>
      </c>
      <c r="Z17" s="73">
        <f>'Skill Workbook'!AE190+RS+IF(R17="Base Spells",5,IF(R17="Open Spells",0,IF(R17="Closed Spells",-5,-10)))</f>
        <v>0</v>
      </c>
      <c r="AC17" s="455"/>
      <c r="AD17" s="456"/>
      <c r="AE17" s="456"/>
      <c r="AF17" s="456"/>
      <c r="AG17" s="456"/>
      <c r="AH17" s="456"/>
      <c r="AI17" s="456"/>
      <c r="AJ17" s="456"/>
      <c r="AK17" s="456"/>
      <c r="AL17" s="457"/>
    </row>
    <row r="18" spans="1:38" x14ac:dyDescent="0.25">
      <c r="A18" s="485" t="s">
        <v>22</v>
      </c>
      <c r="B18" s="486"/>
      <c r="C18" s="486"/>
      <c r="D18" s="3">
        <f>'Base Details'!I79</f>
        <v>0</v>
      </c>
      <c r="E18" s="3">
        <f>'Base Details'!H79</f>
        <v>0</v>
      </c>
      <c r="F18" s="114">
        <f t="shared" si="1"/>
        <v>-20</v>
      </c>
      <c r="G18" s="103" t="e">
        <f>IF(Race="",0,VLOOKUP(Race,Table_Race,8,FALSE))</f>
        <v>#N/A</v>
      </c>
      <c r="H18" s="4"/>
      <c r="I18" s="115" t="e">
        <f t="shared" si="0"/>
        <v>#N/A</v>
      </c>
      <c r="J18" s="534"/>
      <c r="K18" s="535"/>
      <c r="L18" s="535"/>
      <c r="M18" s="535"/>
      <c r="N18" s="536"/>
      <c r="O18" s="3"/>
      <c r="P18" s="215"/>
      <c r="Q18" s="7"/>
      <c r="R18" s="533" t="str">
        <f>'Skill Workbook'!F191</f>
        <v>Open Spells</v>
      </c>
      <c r="S18" s="524"/>
      <c r="T18" s="555" t="str">
        <f>IF('Skill Workbook'!G191="","",'Skill Workbook'!G191)</f>
        <v/>
      </c>
      <c r="U18" s="555"/>
      <c r="V18" s="555"/>
      <c r="W18" s="555"/>
      <c r="X18" s="3">
        <f>'Skill Workbook'!AE191</f>
        <v>0</v>
      </c>
      <c r="Y18" s="4" t="e">
        <f ca="1">'Skill Workbook'!AL191</f>
        <v>#N/A</v>
      </c>
      <c r="Z18" s="73">
        <f>'Skill Workbook'!AE191+RS+IF(R18="Base Spells",5,IF(R18="Open Spells",0,IF(R18="Closed Spells",-5,-10)))</f>
        <v>0</v>
      </c>
      <c r="AC18" s="455"/>
      <c r="AD18" s="456"/>
      <c r="AE18" s="456"/>
      <c r="AF18" s="456"/>
      <c r="AG18" s="456"/>
      <c r="AH18" s="456"/>
      <c r="AI18" s="456"/>
      <c r="AJ18" s="456"/>
      <c r="AK18" s="456"/>
      <c r="AL18" s="457"/>
    </row>
    <row r="19" spans="1:38" x14ac:dyDescent="0.25">
      <c r="A19" s="485" t="s">
        <v>21</v>
      </c>
      <c r="B19" s="486"/>
      <c r="C19" s="486"/>
      <c r="D19" s="3">
        <f>'Base Details'!I80</f>
        <v>0</v>
      </c>
      <c r="E19" s="3">
        <f>'Base Details'!H80</f>
        <v>0</v>
      </c>
      <c r="F19" s="114">
        <f t="shared" si="1"/>
        <v>-20</v>
      </c>
      <c r="G19" s="103" t="e">
        <f>IF(Race="",0,VLOOKUP(Race,Table_Race,9,FALSE))</f>
        <v>#N/A</v>
      </c>
      <c r="H19" s="4"/>
      <c r="I19" s="115" t="e">
        <f t="shared" si="0"/>
        <v>#N/A</v>
      </c>
      <c r="J19" s="534"/>
      <c r="K19" s="535"/>
      <c r="L19" s="535"/>
      <c r="M19" s="535"/>
      <c r="N19" s="536"/>
      <c r="O19" s="3"/>
      <c r="P19" s="215"/>
      <c r="Q19" s="7"/>
      <c r="R19" s="533" t="str">
        <f>'Skill Workbook'!F192</f>
        <v>Open Spells</v>
      </c>
      <c r="S19" s="524"/>
      <c r="T19" s="555" t="str">
        <f>IF('Skill Workbook'!G192="","",'Skill Workbook'!G192)</f>
        <v/>
      </c>
      <c r="U19" s="555"/>
      <c r="V19" s="555"/>
      <c r="W19" s="555"/>
      <c r="X19" s="3">
        <f>'Skill Workbook'!AE192</f>
        <v>0</v>
      </c>
      <c r="Y19" s="4" t="e">
        <f ca="1">'Skill Workbook'!AL192</f>
        <v>#N/A</v>
      </c>
      <c r="Z19" s="73">
        <f>'Skill Workbook'!AE192+RS+IF(R19="Base Spells",5,IF(R19="Open Spells",0,IF(R19="Closed Spells",-5,-10)))</f>
        <v>0</v>
      </c>
      <c r="AC19" s="455"/>
      <c r="AD19" s="456"/>
      <c r="AE19" s="456"/>
      <c r="AF19" s="456"/>
      <c r="AG19" s="456"/>
      <c r="AH19" s="456"/>
      <c r="AI19" s="456"/>
      <c r="AJ19" s="456"/>
      <c r="AK19" s="456"/>
      <c r="AL19" s="457"/>
    </row>
    <row r="20" spans="1:38" x14ac:dyDescent="0.25">
      <c r="A20" s="485" t="s">
        <v>23</v>
      </c>
      <c r="B20" s="486"/>
      <c r="C20" s="486"/>
      <c r="D20" s="3">
        <f>'Base Details'!I81</f>
        <v>0</v>
      </c>
      <c r="E20" s="3">
        <f>'Base Details'!H81</f>
        <v>0</v>
      </c>
      <c r="F20" s="114">
        <f t="shared" si="1"/>
        <v>-20</v>
      </c>
      <c r="G20" s="103" t="e">
        <f>IF(Race="",0,VLOOKUP(Race,Table_Race,10,FALSE))</f>
        <v>#N/A</v>
      </c>
      <c r="H20" s="4"/>
      <c r="I20" s="115" t="e">
        <f t="shared" si="0"/>
        <v>#N/A</v>
      </c>
      <c r="J20" s="534"/>
      <c r="K20" s="535"/>
      <c r="L20" s="535"/>
      <c r="M20" s="535"/>
      <c r="N20" s="536"/>
      <c r="O20" s="3"/>
      <c r="P20" s="215"/>
      <c r="Q20" s="7"/>
      <c r="R20" s="533" t="str">
        <f>'Skill Workbook'!F193</f>
        <v>Closed Spells</v>
      </c>
      <c r="S20" s="524"/>
      <c r="T20" s="555" t="str">
        <f>IF('Skill Workbook'!G193="","",'Skill Workbook'!G193)</f>
        <v/>
      </c>
      <c r="U20" s="555"/>
      <c r="V20" s="555"/>
      <c r="W20" s="555"/>
      <c r="X20" s="3">
        <f>'Skill Workbook'!AE193</f>
        <v>0</v>
      </c>
      <c r="Y20" s="4" t="e">
        <f ca="1">'Skill Workbook'!AL193</f>
        <v>#N/A</v>
      </c>
      <c r="Z20" s="73">
        <f>'Skill Workbook'!AE193+RS+IF(R20="Base Spells",5,IF(R20="Open Spells",0,IF(R20="Closed Spells",-5,-10)))</f>
        <v>-5</v>
      </c>
      <c r="AC20" s="455"/>
      <c r="AD20" s="456"/>
      <c r="AE20" s="456"/>
      <c r="AF20" s="456"/>
      <c r="AG20" s="456"/>
      <c r="AH20" s="456"/>
      <c r="AI20" s="456"/>
      <c r="AJ20" s="456"/>
      <c r="AK20" s="456"/>
      <c r="AL20" s="457"/>
    </row>
    <row r="21" spans="1:38" x14ac:dyDescent="0.25">
      <c r="A21" s="485" t="s">
        <v>24</v>
      </c>
      <c r="B21" s="486"/>
      <c r="C21" s="486"/>
      <c r="D21" s="3">
        <f>'Base Details'!I82</f>
        <v>0</v>
      </c>
      <c r="E21" s="3">
        <f>'Base Details'!H82</f>
        <v>0</v>
      </c>
      <c r="F21" s="114">
        <f t="shared" si="1"/>
        <v>-20</v>
      </c>
      <c r="G21" s="103" t="e">
        <f>IF(Race="",0,VLOOKUP(Race,Table_Race,11,FALSE))</f>
        <v>#N/A</v>
      </c>
      <c r="H21" s="4"/>
      <c r="I21" s="115" t="e">
        <f t="shared" si="0"/>
        <v>#N/A</v>
      </c>
      <c r="J21" s="534"/>
      <c r="K21" s="535"/>
      <c r="L21" s="535"/>
      <c r="M21" s="535"/>
      <c r="N21" s="536"/>
      <c r="O21" s="3"/>
      <c r="P21" s="215"/>
      <c r="Q21" s="7"/>
      <c r="R21" s="533" t="str">
        <f>'Skill Workbook'!F194</f>
        <v>Closed Spells</v>
      </c>
      <c r="S21" s="524"/>
      <c r="T21" s="555" t="str">
        <f>IF('Skill Workbook'!G194="","",'Skill Workbook'!G194)</f>
        <v/>
      </c>
      <c r="U21" s="555"/>
      <c r="V21" s="555"/>
      <c r="W21" s="555"/>
      <c r="X21" s="3">
        <f>'Skill Workbook'!AE194</f>
        <v>0</v>
      </c>
      <c r="Y21" s="4" t="e">
        <f ca="1">'Skill Workbook'!AL194</f>
        <v>#N/A</v>
      </c>
      <c r="Z21" s="73">
        <f>'Skill Workbook'!AE194+RS+IF(R21="Base Spells",5,IF(R21="Open Spells",0,IF(R21="Closed Spells",-5,-10)))</f>
        <v>-5</v>
      </c>
      <c r="AC21" s="455"/>
      <c r="AD21" s="456"/>
      <c r="AE21" s="456"/>
      <c r="AF21" s="456"/>
      <c r="AG21" s="456"/>
      <c r="AH21" s="456"/>
      <c r="AI21" s="456"/>
      <c r="AJ21" s="456"/>
      <c r="AK21" s="456"/>
      <c r="AL21" s="457"/>
    </row>
    <row r="22" spans="1:38" ht="15.75" thickBot="1" x14ac:dyDescent="0.3">
      <c r="A22" s="496" t="s">
        <v>25</v>
      </c>
      <c r="B22" s="497"/>
      <c r="C22" s="497"/>
      <c r="D22" s="3">
        <f>'Base Details'!I83</f>
        <v>0</v>
      </c>
      <c r="E22" s="3">
        <f>'Base Details'!H83</f>
        <v>0</v>
      </c>
      <c r="F22" s="114">
        <f t="shared" si="1"/>
        <v>-20</v>
      </c>
      <c r="G22" s="103" t="e">
        <f>IF(Race="",0,VLOOKUP(Race,Table_Race,12,FALSE))</f>
        <v>#N/A</v>
      </c>
      <c r="H22" s="4"/>
      <c r="I22" s="115" t="e">
        <f t="shared" si="0"/>
        <v>#N/A</v>
      </c>
      <c r="J22" s="534"/>
      <c r="K22" s="535"/>
      <c r="L22" s="535"/>
      <c r="M22" s="535"/>
      <c r="N22" s="536"/>
      <c r="O22" s="3"/>
      <c r="P22" s="215"/>
      <c r="Q22" s="7"/>
      <c r="R22" s="533" t="str">
        <f>'Skill Workbook'!F195</f>
        <v>Closed Spells</v>
      </c>
      <c r="S22" s="524"/>
      <c r="T22" s="555" t="str">
        <f>IF('Skill Workbook'!G195="","",'Skill Workbook'!G195)</f>
        <v/>
      </c>
      <c r="U22" s="555"/>
      <c r="V22" s="555"/>
      <c r="W22" s="555"/>
      <c r="X22" s="3">
        <f>'Skill Workbook'!AE195</f>
        <v>0</v>
      </c>
      <c r="Y22" s="4" t="e">
        <f ca="1">'Skill Workbook'!AL195</f>
        <v>#N/A</v>
      </c>
      <c r="Z22" s="73">
        <f>'Skill Workbook'!AE195+RS+IF(R22="Base Spells",5,IF(R22="Open Spells",0,IF(R22="Closed Spells",-5,-10)))</f>
        <v>-5</v>
      </c>
      <c r="AC22" s="458"/>
      <c r="AD22" s="459"/>
      <c r="AE22" s="459"/>
      <c r="AF22" s="459"/>
      <c r="AG22" s="459"/>
      <c r="AH22" s="459"/>
      <c r="AI22" s="459"/>
      <c r="AJ22" s="459"/>
      <c r="AK22" s="459"/>
      <c r="AL22" s="460"/>
    </row>
    <row r="23" spans="1:38" ht="15.75" thickBot="1" x14ac:dyDescent="0.3">
      <c r="A23" s="487" t="s">
        <v>230</v>
      </c>
      <c r="B23" s="488"/>
      <c r="C23" s="488"/>
      <c r="D23" s="12"/>
      <c r="E23" s="12"/>
      <c r="F23" s="75"/>
      <c r="G23" s="13"/>
      <c r="H23" s="13"/>
      <c r="I23" s="116">
        <f>IF(Realm="",0,VLOOKUP(Realm,Table_Realm_Stat,2,FALSE))</f>
        <v>0</v>
      </c>
      <c r="J23" s="534"/>
      <c r="K23" s="535"/>
      <c r="L23" s="535"/>
      <c r="M23" s="535"/>
      <c r="N23" s="536"/>
      <c r="O23" s="3"/>
      <c r="P23" s="215"/>
      <c r="Q23" s="7"/>
      <c r="R23" s="533" t="str">
        <f>'Skill Workbook'!F196</f>
        <v>Closed Spells</v>
      </c>
      <c r="S23" s="524"/>
      <c r="T23" s="555" t="str">
        <f>IF('Skill Workbook'!G196="","",'Skill Workbook'!G196)</f>
        <v/>
      </c>
      <c r="U23" s="555"/>
      <c r="V23" s="555"/>
      <c r="W23" s="555"/>
      <c r="X23" s="3">
        <f>'Skill Workbook'!AE196</f>
        <v>0</v>
      </c>
      <c r="Y23" s="4" t="e">
        <f ca="1">'Skill Workbook'!AL196</f>
        <v>#N/A</v>
      </c>
      <c r="Z23" s="73">
        <f>'Skill Workbook'!AE196+RS+IF(R23="Base Spells",5,IF(R23="Open Spells",0,IF(R23="Closed Spells",-5,-10)))</f>
        <v>-5</v>
      </c>
    </row>
    <row r="24" spans="1:38" ht="15.75" thickBot="1" x14ac:dyDescent="0.3">
      <c r="A24" s="219"/>
      <c r="B24" s="551" t="s">
        <v>519</v>
      </c>
      <c r="C24" s="551"/>
      <c r="D24" s="551"/>
      <c r="E24" s="220">
        <f>SUM(F13:F22)</f>
        <v>-200</v>
      </c>
      <c r="F24" s="551" t="s">
        <v>518</v>
      </c>
      <c r="G24" s="551"/>
      <c r="H24" s="551"/>
      <c r="I24" s="221">
        <f>SUM(Source_Data!K5:K14)</f>
        <v>-200</v>
      </c>
      <c r="J24" s="565" t="e">
        <f>VLOOKUP(Race,Table_Race,27,FALSE)</f>
        <v>#N/A</v>
      </c>
      <c r="K24" s="566"/>
      <c r="L24" s="566"/>
      <c r="M24" s="566"/>
      <c r="N24" s="566"/>
      <c r="O24" s="566"/>
      <c r="P24" s="566"/>
      <c r="Q24" s="567"/>
      <c r="R24" s="533" t="str">
        <f>'Skill Workbook'!F197</f>
        <v>Closed Spells</v>
      </c>
      <c r="S24" s="524"/>
      <c r="T24" s="555" t="str">
        <f>IF('Skill Workbook'!G197="","",'Skill Workbook'!G197)</f>
        <v/>
      </c>
      <c r="U24" s="555"/>
      <c r="V24" s="555"/>
      <c r="W24" s="555"/>
      <c r="X24" s="3">
        <f>'Skill Workbook'!AE197</f>
        <v>0</v>
      </c>
      <c r="Y24" s="4" t="e">
        <f ca="1">'Skill Workbook'!AL197</f>
        <v>#N/A</v>
      </c>
      <c r="Z24" s="73">
        <f>'Skill Workbook'!AE197+RS+IF(R24="Base Spells",5,IF(R24="Open Spells",0,IF(R24="Closed Spells",-5,-10)))</f>
        <v>-5</v>
      </c>
    </row>
    <row r="25" spans="1:38" ht="15" customHeight="1" x14ac:dyDescent="0.25">
      <c r="A25" s="483" t="s">
        <v>58</v>
      </c>
      <c r="B25" s="484"/>
      <c r="C25" s="484"/>
      <c r="D25" s="6" t="s">
        <v>15</v>
      </c>
      <c r="E25" s="6" t="s">
        <v>28</v>
      </c>
      <c r="F25" s="6" t="s">
        <v>59</v>
      </c>
      <c r="G25" s="6" t="s">
        <v>7</v>
      </c>
      <c r="H25" s="6" t="s">
        <v>30</v>
      </c>
      <c r="I25" s="8" t="s">
        <v>29</v>
      </c>
      <c r="J25" s="568"/>
      <c r="K25" s="569"/>
      <c r="L25" s="569"/>
      <c r="M25" s="569"/>
      <c r="N25" s="569"/>
      <c r="O25" s="569"/>
      <c r="P25" s="569"/>
      <c r="Q25" s="570"/>
      <c r="R25" s="533" t="str">
        <f>'Skill Workbook'!F198</f>
        <v>Closed Spells</v>
      </c>
      <c r="S25" s="524"/>
      <c r="T25" s="555" t="str">
        <f>IF('Skill Workbook'!G198="","",'Skill Workbook'!G198)</f>
        <v/>
      </c>
      <c r="U25" s="555"/>
      <c r="V25" s="555"/>
      <c r="W25" s="555"/>
      <c r="X25" s="3">
        <f>'Skill Workbook'!AE198</f>
        <v>0</v>
      </c>
      <c r="Y25" s="4" t="e">
        <f ca="1">'Skill Workbook'!AL198</f>
        <v>#N/A</v>
      </c>
      <c r="Z25" s="73">
        <f>'Skill Workbook'!AE198+RS+IF(R25="Base Spells",5,IF(R25="Open Spells",0,IF(R25="Closed Spells",-5,-10)))</f>
        <v>-5</v>
      </c>
    </row>
    <row r="26" spans="1:38" x14ac:dyDescent="0.25">
      <c r="A26" s="485" t="s">
        <v>60</v>
      </c>
      <c r="B26" s="486"/>
      <c r="C26" s="486"/>
      <c r="D26" s="74" t="s">
        <v>65</v>
      </c>
      <c r="E26" s="103" t="e">
        <f>IN</f>
        <v>#N/A</v>
      </c>
      <c r="F26" s="103">
        <f>Level*2</f>
        <v>0</v>
      </c>
      <c r="G26" s="103" t="e">
        <f>VLOOKUP(Race,Table_Race,13,FALSE)</f>
        <v>#N/A</v>
      </c>
      <c r="H26" s="103">
        <f>IF(Realm="Channeling",10,IF(OR(Realm="Channeling/Essence",Realm="Channeling/Mentalism"),5,0))</f>
        <v>0</v>
      </c>
      <c r="I26" s="108" t="e">
        <f>SUM(E26:H26)</f>
        <v>#N/A</v>
      </c>
      <c r="J26" s="568"/>
      <c r="K26" s="569"/>
      <c r="L26" s="569"/>
      <c r="M26" s="569"/>
      <c r="N26" s="569"/>
      <c r="O26" s="569"/>
      <c r="P26" s="569"/>
      <c r="Q26" s="570"/>
      <c r="R26" s="533" t="str">
        <f>'Skill Workbook'!F199</f>
        <v>Closed Spells</v>
      </c>
      <c r="S26" s="524"/>
      <c r="T26" s="555" t="str">
        <f>IF('Skill Workbook'!G199="","",'Skill Workbook'!G199)</f>
        <v/>
      </c>
      <c r="U26" s="555"/>
      <c r="V26" s="555"/>
      <c r="W26" s="555"/>
      <c r="X26" s="3">
        <f>'Skill Workbook'!AE199</f>
        <v>0</v>
      </c>
      <c r="Y26" s="4" t="e">
        <f ca="1">'Skill Workbook'!AL199</f>
        <v>#N/A</v>
      </c>
      <c r="Z26" s="73">
        <f>'Skill Workbook'!AE199+RS+IF(R26="Base Spells",5,IF(R26="Open Spells",0,IF(R26="Closed Spells",-5,-10)))</f>
        <v>-5</v>
      </c>
    </row>
    <row r="27" spans="1:38" x14ac:dyDescent="0.25">
      <c r="A27" s="485" t="s">
        <v>61</v>
      </c>
      <c r="B27" s="486"/>
      <c r="C27" s="486"/>
      <c r="D27" s="74" t="s">
        <v>66</v>
      </c>
      <c r="E27" s="103" t="e">
        <f>EM</f>
        <v>#N/A</v>
      </c>
      <c r="F27" s="103">
        <f>Level*2</f>
        <v>0</v>
      </c>
      <c r="G27" s="103" t="e">
        <f>VLOOKUP(Race,Table_Race,14,FALSE)</f>
        <v>#N/A</v>
      </c>
      <c r="H27" s="103">
        <f>IF(Realm="Essence",10,IF(OR(Realm="Channeling/Essence",Realm="Essence/Mentalism"),5,0))</f>
        <v>0</v>
      </c>
      <c r="I27" s="108" t="e">
        <f>SUM(E27:H27)</f>
        <v>#N/A</v>
      </c>
      <c r="J27" s="568"/>
      <c r="K27" s="569"/>
      <c r="L27" s="569"/>
      <c r="M27" s="569"/>
      <c r="N27" s="569"/>
      <c r="O27" s="569"/>
      <c r="P27" s="569"/>
      <c r="Q27" s="570"/>
      <c r="R27" s="533" t="str">
        <f>'Skill Workbook'!F200</f>
        <v>Closed Spells</v>
      </c>
      <c r="S27" s="524"/>
      <c r="T27" s="555" t="str">
        <f>IF('Skill Workbook'!G200="","",'Skill Workbook'!G200)</f>
        <v/>
      </c>
      <c r="U27" s="555"/>
      <c r="V27" s="555"/>
      <c r="W27" s="555"/>
      <c r="X27" s="3">
        <f>'Skill Workbook'!AE200</f>
        <v>0</v>
      </c>
      <c r="Y27" s="4" t="e">
        <f ca="1">'Skill Workbook'!AL200</f>
        <v>#N/A</v>
      </c>
      <c r="Z27" s="73">
        <f>'Skill Workbook'!AE200+RS+IF(R27="Base Spells",5,IF(R27="Open Spells",0,IF(R27="Closed Spells",-5,-10)))</f>
        <v>-5</v>
      </c>
    </row>
    <row r="28" spans="1:38" x14ac:dyDescent="0.25">
      <c r="A28" s="485" t="s">
        <v>62</v>
      </c>
      <c r="B28" s="486"/>
      <c r="C28" s="486"/>
      <c r="D28" s="74" t="s">
        <v>67</v>
      </c>
      <c r="E28" s="103" t="e">
        <f>PR</f>
        <v>#N/A</v>
      </c>
      <c r="F28" s="103">
        <f>Level*2</f>
        <v>0</v>
      </c>
      <c r="G28" s="103" t="e">
        <f>VLOOKUP(Race,Table_Race,15,FALSE)</f>
        <v>#N/A</v>
      </c>
      <c r="H28" s="103">
        <f>IF(Realm="Mentalism",10,IF(OR(Realm="Essence/Mentalism",Realm="Channeling/Mentalism"),5,0))</f>
        <v>0</v>
      </c>
      <c r="I28" s="108" t="e">
        <f>SUM(E28:H28)</f>
        <v>#N/A</v>
      </c>
      <c r="J28" s="568"/>
      <c r="K28" s="569"/>
      <c r="L28" s="569"/>
      <c r="M28" s="569"/>
      <c r="N28" s="569"/>
      <c r="O28" s="569"/>
      <c r="P28" s="569"/>
      <c r="Q28" s="570"/>
      <c r="R28" s="533" t="str">
        <f>'Skill Workbook'!F201</f>
        <v>Closed Spells</v>
      </c>
      <c r="S28" s="524"/>
      <c r="T28" s="555" t="str">
        <f>IF('Skill Workbook'!G201="","",'Skill Workbook'!G201)</f>
        <v/>
      </c>
      <c r="U28" s="555"/>
      <c r="V28" s="555"/>
      <c r="W28" s="555"/>
      <c r="X28" s="3">
        <f>'Skill Workbook'!AE201</f>
        <v>0</v>
      </c>
      <c r="Y28" s="4" t="e">
        <f ca="1">'Skill Workbook'!AL201</f>
        <v>#N/A</v>
      </c>
      <c r="Z28" s="73">
        <f>'Skill Workbook'!AE201+RS+IF(R28="Base Spells",5,IF(R28="Open Spells",0,IF(R28="Closed Spells",-5,-10)))</f>
        <v>-5</v>
      </c>
    </row>
    <row r="29" spans="1:38" x14ac:dyDescent="0.25">
      <c r="A29" s="485" t="s">
        <v>63</v>
      </c>
      <c r="B29" s="486"/>
      <c r="C29" s="486"/>
      <c r="D29" s="74" t="s">
        <v>68</v>
      </c>
      <c r="E29" s="103" t="e">
        <f>CO</f>
        <v>#N/A</v>
      </c>
      <c r="F29" s="103">
        <f>Level*2</f>
        <v>0</v>
      </c>
      <c r="G29" s="103" t="e">
        <f>VLOOKUP(Race,Table_Race,16,FALSE)</f>
        <v>#N/A</v>
      </c>
      <c r="H29" s="4"/>
      <c r="I29" s="108" t="e">
        <f>SUM(E29:H29)</f>
        <v>#N/A</v>
      </c>
      <c r="J29" s="568"/>
      <c r="K29" s="569"/>
      <c r="L29" s="569"/>
      <c r="M29" s="569"/>
      <c r="N29" s="569"/>
      <c r="O29" s="569"/>
      <c r="P29" s="569"/>
      <c r="Q29" s="570"/>
      <c r="R29" s="533" t="str">
        <f>'Skill Workbook'!F202</f>
        <v>Closed Spells</v>
      </c>
      <c r="S29" s="524"/>
      <c r="T29" s="555" t="str">
        <f>IF('Skill Workbook'!G202="","",'Skill Workbook'!G202)</f>
        <v/>
      </c>
      <c r="U29" s="555"/>
      <c r="V29" s="555"/>
      <c r="W29" s="555"/>
      <c r="X29" s="3">
        <f>'Skill Workbook'!AE202</f>
        <v>0</v>
      </c>
      <c r="Y29" s="4" t="e">
        <f ca="1">'Skill Workbook'!AL202</f>
        <v>#N/A</v>
      </c>
      <c r="Z29" s="73">
        <f>'Skill Workbook'!AE202+RS+IF(R29="Base Spells",5,IF(R29="Open Spells",0,IF(R29="Closed Spells",-5,-10)))</f>
        <v>-5</v>
      </c>
    </row>
    <row r="30" spans="1:38" ht="15.75" thickBot="1" x14ac:dyDescent="0.3">
      <c r="A30" s="487" t="s">
        <v>64</v>
      </c>
      <c r="B30" s="488"/>
      <c r="C30" s="488"/>
      <c r="D30" s="12" t="s">
        <v>69</v>
      </c>
      <c r="E30" s="104" t="e">
        <f>SD</f>
        <v>#N/A</v>
      </c>
      <c r="F30" s="104">
        <f>Level*2</f>
        <v>0</v>
      </c>
      <c r="G30" s="104"/>
      <c r="H30" s="14"/>
      <c r="I30" s="109" t="e">
        <f>SUM(E30:H30)</f>
        <v>#N/A</v>
      </c>
      <c r="J30" s="571"/>
      <c r="K30" s="572"/>
      <c r="L30" s="572"/>
      <c r="M30" s="572"/>
      <c r="N30" s="572"/>
      <c r="O30" s="572"/>
      <c r="P30" s="572"/>
      <c r="Q30" s="573"/>
      <c r="R30" s="533" t="str">
        <f>'Skill Workbook'!F203</f>
        <v>Magical Ritual</v>
      </c>
      <c r="S30" s="524"/>
      <c r="T30" s="555" t="str">
        <f>IF('Skill Workbook'!G203="","",'Skill Workbook'!G203)</f>
        <v>Alteration</v>
      </c>
      <c r="U30" s="555"/>
      <c r="V30" s="555"/>
      <c r="W30" s="555"/>
      <c r="X30" s="3">
        <f>'Skill Workbook'!AE203</f>
        <v>0</v>
      </c>
      <c r="Y30" s="4" t="e">
        <f ca="1">'Skill Workbook'!AL203</f>
        <v>#N/A</v>
      </c>
      <c r="Z30" s="73">
        <f>'Skill Workbook'!AE203+RS+IF(R30="Base Spells",5,IF(R30="Open Spells",0,IF(R30="Closed Spells",-5,-10)))</f>
        <v>-10</v>
      </c>
    </row>
    <row r="31" spans="1:38" x14ac:dyDescent="0.25">
      <c r="A31" s="483" t="s">
        <v>413</v>
      </c>
      <c r="B31" s="484"/>
      <c r="C31" s="548" t="s">
        <v>54</v>
      </c>
      <c r="D31" s="548"/>
      <c r="E31" s="548"/>
      <c r="F31" s="548"/>
      <c r="G31" s="6" t="s">
        <v>55</v>
      </c>
      <c r="H31" s="6" t="s">
        <v>57</v>
      </c>
      <c r="I31" s="6" t="s">
        <v>56</v>
      </c>
      <c r="J31" s="489" t="s">
        <v>411</v>
      </c>
      <c r="K31" s="489"/>
      <c r="L31" s="489" t="s">
        <v>118</v>
      </c>
      <c r="M31" s="489"/>
      <c r="N31" s="489" t="s">
        <v>86</v>
      </c>
      <c r="O31" s="489"/>
      <c r="P31" s="489" t="s">
        <v>12</v>
      </c>
      <c r="Q31" s="549"/>
      <c r="R31" s="533" t="str">
        <f>'Skill Workbook'!F204</f>
        <v>Magical Ritual</v>
      </c>
      <c r="S31" s="524"/>
      <c r="T31" s="555" t="str">
        <f>IF('Skill Workbook'!G204="","",'Skill Workbook'!G204)</f>
        <v>Creation</v>
      </c>
      <c r="U31" s="555"/>
      <c r="V31" s="555"/>
      <c r="W31" s="555"/>
      <c r="X31" s="3">
        <f>'Skill Workbook'!AE204</f>
        <v>0</v>
      </c>
      <c r="Y31" s="4" t="e">
        <f ca="1">'Skill Workbook'!AL204</f>
        <v>#N/A</v>
      </c>
      <c r="Z31" s="73">
        <f>'Skill Workbook'!AE204+RS+IF(R31="Base Spells",5,IF(R31="Open Spells",0,IF(R31="Closed Spells",-5,-10)))</f>
        <v>-10</v>
      </c>
    </row>
    <row r="32" spans="1:38" x14ac:dyDescent="0.25">
      <c r="A32" s="485" t="s">
        <v>49</v>
      </c>
      <c r="B32" s="486"/>
      <c r="C32" s="525" t="s">
        <v>401</v>
      </c>
      <c r="D32" s="541"/>
      <c r="E32" s="541"/>
      <c r="F32" s="542"/>
      <c r="G32" s="5">
        <f>VLOOKUP($C$32,Table_Armor_Chest,2,FALSE)</f>
        <v>1</v>
      </c>
      <c r="H32" s="4"/>
      <c r="I32" s="5">
        <f>VLOOKUP($C$32,Table_Armor_Chest,4,FALSE)</f>
        <v>0</v>
      </c>
      <c r="J32" s="490">
        <f>VLOOKUP($C$32,Table_Armor_Chest,5,FALSE)</f>
        <v>0</v>
      </c>
      <c r="K32" s="491">
        <f>VLOOKUP($C$32,Table_Armor_Chest,2,FALSE)</f>
        <v>1</v>
      </c>
      <c r="L32" s="490">
        <f>VLOOKUP($C$32,Table_Armor_Chest,6,FALSE)</f>
        <v>0</v>
      </c>
      <c r="M32" s="491">
        <f>VLOOKUP($C$32,Table_Armor_Chest,2,FALSE)</f>
        <v>1</v>
      </c>
      <c r="N32" s="490">
        <f>VLOOKUP($C$32,Table_Armor_Chest,7,FALSE)</f>
        <v>0</v>
      </c>
      <c r="O32" s="491">
        <f>VLOOKUP($C$32,Table_Armor_Chest,2,FALSE)</f>
        <v>1</v>
      </c>
      <c r="P32" s="531">
        <f>VLOOKUP($C$32,Table_Armor_Chest,3,FALSE)</f>
        <v>0</v>
      </c>
      <c r="Q32" s="532">
        <f>VLOOKUP($C$32,Table_Armor_Chest,2,FALSE)</f>
        <v>1</v>
      </c>
      <c r="R32" s="533" t="str">
        <f>'Skill Workbook'!F205</f>
        <v>Magical Ritual</v>
      </c>
      <c r="S32" s="524"/>
      <c r="T32" s="555" t="str">
        <f>IF('Skill Workbook'!G205="","",'Skill Workbook'!G205)</f>
        <v>Defensive</v>
      </c>
      <c r="U32" s="555"/>
      <c r="V32" s="555"/>
      <c r="W32" s="555"/>
      <c r="X32" s="3">
        <f>'Skill Workbook'!AE205</f>
        <v>0</v>
      </c>
      <c r="Y32" s="4" t="e">
        <f ca="1">'Skill Workbook'!AL205</f>
        <v>#N/A</v>
      </c>
      <c r="Z32" s="73">
        <f>'Skill Workbook'!AE205+RS+IF(R32="Base Spells",5,IF(R32="Open Spells",0,IF(R32="Closed Spells",-5,-10)))</f>
        <v>-10</v>
      </c>
    </row>
    <row r="33" spans="1:26" ht="15" customHeight="1" x14ac:dyDescent="0.25">
      <c r="A33" s="485" t="s">
        <v>50</v>
      </c>
      <c r="B33" s="486"/>
      <c r="C33" s="525" t="s">
        <v>401</v>
      </c>
      <c r="D33" s="541"/>
      <c r="E33" s="541"/>
      <c r="F33" s="542"/>
      <c r="G33" s="5">
        <f>VLOOKUP($C$33,Table_Armor_Head,2,FALSE)</f>
        <v>1</v>
      </c>
      <c r="H33" s="4"/>
      <c r="I33" s="5">
        <f>VLOOKUP($C$33,Table_Armor_Head,4,FALSE)</f>
        <v>0</v>
      </c>
      <c r="J33" s="490">
        <f>VLOOKUP($C$33,Table_Armor_Head,5,FALSE)</f>
        <v>0</v>
      </c>
      <c r="K33" s="491">
        <f>VLOOKUP($C$32,Table_Armor_Chest,2,FALSE)</f>
        <v>1</v>
      </c>
      <c r="L33" s="490">
        <f>VLOOKUP($C$33,Table_Armor_Head,6,FALSE)</f>
        <v>0</v>
      </c>
      <c r="M33" s="491">
        <f>VLOOKUP($C$32,Table_Armor_Chest,2,FALSE)</f>
        <v>1</v>
      </c>
      <c r="N33" s="490">
        <f>VLOOKUP($C$33,Table_Armor_Head,7,FALSE)</f>
        <v>0</v>
      </c>
      <c r="O33" s="491">
        <f>VLOOKUP($C$32,Table_Armor_Chest,2,FALSE)</f>
        <v>1</v>
      </c>
      <c r="P33" s="531">
        <f>VLOOKUP($C$33,Table_Armor_Head,3,FALSE)</f>
        <v>0</v>
      </c>
      <c r="Q33" s="532">
        <f>VLOOKUP($C$32,Table_Armor_Chest,2,FALSE)</f>
        <v>1</v>
      </c>
      <c r="R33" s="533" t="str">
        <f>'Skill Workbook'!F206</f>
        <v>Magical Ritual</v>
      </c>
      <c r="S33" s="524"/>
      <c r="T33" s="555" t="str">
        <f>IF('Skill Workbook'!G206="","",'Skill Workbook'!G206)</f>
        <v>Destruction</v>
      </c>
      <c r="U33" s="555"/>
      <c r="V33" s="555"/>
      <c r="W33" s="555"/>
      <c r="X33" s="3">
        <f>'Skill Workbook'!AE206</f>
        <v>0</v>
      </c>
      <c r="Y33" s="4" t="e">
        <f ca="1">'Skill Workbook'!AL206</f>
        <v>#N/A</v>
      </c>
      <c r="Z33" s="73">
        <f>'Skill Workbook'!AE206+RS+IF(R33="Base Spells",5,IF(R33="Open Spells",0,IF(R33="Closed Spells",-5,-10)))</f>
        <v>-10</v>
      </c>
    </row>
    <row r="34" spans="1:26" x14ac:dyDescent="0.25">
      <c r="A34" s="485" t="s">
        <v>51</v>
      </c>
      <c r="B34" s="486"/>
      <c r="C34" s="525" t="s">
        <v>401</v>
      </c>
      <c r="D34" s="541"/>
      <c r="E34" s="541"/>
      <c r="F34" s="542"/>
      <c r="G34" s="5">
        <f>VLOOKUP($C$34,Table_Armor_Arms,2,FALSE)</f>
        <v>1</v>
      </c>
      <c r="H34" s="4"/>
      <c r="I34" s="5">
        <f>VLOOKUP($C$34,Table_Armor_Arms,4,FALSE)</f>
        <v>0</v>
      </c>
      <c r="J34" s="490">
        <f>VLOOKUP($C$34,Table_Armor_Arms,5,FALSE)</f>
        <v>0</v>
      </c>
      <c r="K34" s="491">
        <f>VLOOKUP($C$32,Table_Armor_Chest,2,FALSE)</f>
        <v>1</v>
      </c>
      <c r="L34" s="490">
        <f>VLOOKUP($C$34,Table_Armor_Arms,6,FALSE)</f>
        <v>0</v>
      </c>
      <c r="M34" s="491">
        <f>VLOOKUP($C$32,Table_Armor_Chest,2,FALSE)</f>
        <v>1</v>
      </c>
      <c r="N34" s="490">
        <f>VLOOKUP($C$34,Table_Armor_Arms,7,FALSE)</f>
        <v>0</v>
      </c>
      <c r="O34" s="491">
        <f>VLOOKUP($C$32,Table_Armor_Chest,2,FALSE)</f>
        <v>1</v>
      </c>
      <c r="P34" s="531">
        <f>VLOOKUP($C$34,Table_Armor_Arms,3,FALSE)</f>
        <v>0</v>
      </c>
      <c r="Q34" s="532">
        <f>VLOOKUP($C$32,Table_Armor_Chest,2,FALSE)</f>
        <v>1</v>
      </c>
      <c r="R34" s="533" t="str">
        <f>'Skill Workbook'!F207</f>
        <v>Magical Ritual</v>
      </c>
      <c r="S34" s="524"/>
      <c r="T34" s="555" t="str">
        <f>IF('Skill Workbook'!G207="","",'Skill Workbook'!G207)</f>
        <v>Elemental</v>
      </c>
      <c r="U34" s="555"/>
      <c r="V34" s="555"/>
      <c r="W34" s="555"/>
      <c r="X34" s="3">
        <f>'Skill Workbook'!AE207</f>
        <v>0</v>
      </c>
      <c r="Y34" s="4" t="e">
        <f ca="1">'Skill Workbook'!AL207</f>
        <v>#N/A</v>
      </c>
      <c r="Z34" s="73">
        <f>'Skill Workbook'!AE207+RS+IF(R34="Base Spells",5,IF(R34="Open Spells",0,IF(R34="Closed Spells",-5,-10)))</f>
        <v>-10</v>
      </c>
    </row>
    <row r="35" spans="1:26" x14ac:dyDescent="0.25">
      <c r="A35" s="485" t="s">
        <v>52</v>
      </c>
      <c r="B35" s="486"/>
      <c r="C35" s="525" t="s">
        <v>401</v>
      </c>
      <c r="D35" s="541"/>
      <c r="E35" s="541"/>
      <c r="F35" s="542"/>
      <c r="G35" s="5">
        <f>VLOOKUP($C$35,Table_Armor_Legs,2,FALSE)</f>
        <v>1</v>
      </c>
      <c r="H35" s="4"/>
      <c r="I35" s="5">
        <f>VLOOKUP($C$35,Table_Armor_Legs,4,FALSE)</f>
        <v>0</v>
      </c>
      <c r="J35" s="490">
        <f>VLOOKUP($C$35,Table_Armor_Legs,5,FALSE)</f>
        <v>0</v>
      </c>
      <c r="K35" s="491">
        <f>VLOOKUP($C$32,Table_Armor_Chest,2,FALSE)</f>
        <v>1</v>
      </c>
      <c r="L35" s="490">
        <f>VLOOKUP($C$35,Table_Armor_Legs,6,FALSE)</f>
        <v>0</v>
      </c>
      <c r="M35" s="491">
        <f>VLOOKUP($C$32,Table_Armor_Chest,2,FALSE)</f>
        <v>1</v>
      </c>
      <c r="N35" s="490">
        <f>VLOOKUP($C$35,Table_Armor_Legs,7,FALSE)</f>
        <v>0</v>
      </c>
      <c r="O35" s="491">
        <f>VLOOKUP($C$32,Table_Armor_Chest,2,FALSE)</f>
        <v>1</v>
      </c>
      <c r="P35" s="531">
        <f>VLOOKUP($C$35,Table_Armor_Legs,3,FALSE)</f>
        <v>0</v>
      </c>
      <c r="Q35" s="532">
        <f>VLOOKUP($C$32,Table_Armor_Chest,2,FALSE)</f>
        <v>1</v>
      </c>
      <c r="R35" s="533" t="str">
        <f>'Skill Workbook'!F208</f>
        <v>Magical Ritual</v>
      </c>
      <c r="S35" s="524"/>
      <c r="T35" s="555" t="str">
        <f>IF('Skill Workbook'!G208="","",'Skill Workbook'!G208)</f>
        <v>Healing</v>
      </c>
      <c r="U35" s="555"/>
      <c r="V35" s="555"/>
      <c r="W35" s="555"/>
      <c r="X35" s="3">
        <f>'Skill Workbook'!AE208</f>
        <v>0</v>
      </c>
      <c r="Y35" s="4" t="e">
        <f ca="1">'Skill Workbook'!AL208</f>
        <v>#N/A</v>
      </c>
      <c r="Z35" s="73">
        <f>'Skill Workbook'!AE208+RS+IF(R35="Base Spells",5,IF(R35="Open Spells",0,IF(R35="Closed Spells",-5,-10)))</f>
        <v>-10</v>
      </c>
    </row>
    <row r="36" spans="1:26" ht="15.75" thickBot="1" x14ac:dyDescent="0.3">
      <c r="A36" s="481" t="s">
        <v>29</v>
      </c>
      <c r="B36" s="482"/>
      <c r="C36" s="545"/>
      <c r="D36" s="546"/>
      <c r="E36" s="546"/>
      <c r="F36" s="547"/>
      <c r="G36" s="69"/>
      <c r="H36" s="117">
        <f>SUM(H32:H35)</f>
        <v>0</v>
      </c>
      <c r="I36" s="69"/>
      <c r="J36" s="494">
        <f>SUM(J32:J35)+G36</f>
        <v>0</v>
      </c>
      <c r="K36" s="495"/>
      <c r="L36" s="494">
        <f>SUM(L32:L35)</f>
        <v>0</v>
      </c>
      <c r="M36" s="495"/>
      <c r="N36" s="494">
        <f>SUM(N32:N35)</f>
        <v>0</v>
      </c>
      <c r="O36" s="495"/>
      <c r="P36" s="539">
        <f>SUM(P32:P35)</f>
        <v>0</v>
      </c>
      <c r="Q36" s="540"/>
      <c r="R36" s="533" t="str">
        <f>'Skill Workbook'!F209</f>
        <v>Magical Ritual</v>
      </c>
      <c r="S36" s="524"/>
      <c r="T36" s="555" t="str">
        <f>IF('Skill Workbook'!G209="","",'Skill Workbook'!G209)</f>
        <v>Informational</v>
      </c>
      <c r="U36" s="555"/>
      <c r="V36" s="555"/>
      <c r="W36" s="555"/>
      <c r="X36" s="3">
        <f>'Skill Workbook'!AE209</f>
        <v>0</v>
      </c>
      <c r="Y36" s="4" t="e">
        <f ca="1">'Skill Workbook'!AL209</f>
        <v>#N/A</v>
      </c>
      <c r="Z36" s="73">
        <f>'Skill Workbook'!AE209+RS+IF(R36="Base Spells",5,IF(R36="Open Spells",0,IF(R36="Closed Spells",-5,-10)))</f>
        <v>-10</v>
      </c>
    </row>
    <row r="37" spans="1:26" ht="15.75" thickBot="1" x14ac:dyDescent="0.3">
      <c r="A37" s="487" t="s">
        <v>53</v>
      </c>
      <c r="B37" s="488"/>
      <c r="C37" s="529" t="s">
        <v>401</v>
      </c>
      <c r="D37" s="543"/>
      <c r="E37" s="543"/>
      <c r="F37" s="544"/>
      <c r="G37" s="69" t="s">
        <v>406</v>
      </c>
      <c r="H37" s="104">
        <f>VLOOKUP($C$37,Table_Armor_Shields,2,FALSE)</f>
        <v>0</v>
      </c>
      <c r="I37" s="69">
        <f>VLOOKUP($C$37,Table_Armor_Shields,4,FALSE)</f>
        <v>0</v>
      </c>
      <c r="J37" s="492"/>
      <c r="K37" s="493"/>
      <c r="L37" s="492"/>
      <c r="M37" s="493"/>
      <c r="N37" s="537" t="s">
        <v>412</v>
      </c>
      <c r="O37" s="550"/>
      <c r="P37" s="537">
        <f>VLOOKUP($C$37,Table_Armor_Shields,5,FALSE)</f>
        <v>0</v>
      </c>
      <c r="Q37" s="538"/>
      <c r="R37" s="556" t="str">
        <f>'Skill Workbook'!F210</f>
        <v>Magical Ritual</v>
      </c>
      <c r="S37" s="528"/>
      <c r="T37" s="574" t="str">
        <f>IF('Skill Workbook'!G210="","",'Skill Workbook'!G210)</f>
        <v>Summoning</v>
      </c>
      <c r="U37" s="574"/>
      <c r="V37" s="574"/>
      <c r="W37" s="574"/>
      <c r="X37" s="15">
        <f>'Skill Workbook'!AE210</f>
        <v>0</v>
      </c>
      <c r="Y37" s="14" t="e">
        <f ca="1">'Skill Workbook'!AL210</f>
        <v>#N/A</v>
      </c>
      <c r="Z37" s="79">
        <f>'Skill Workbook'!AE210+RS+IF(R37="Base Spells",5,IF(R37="Open Spells",0,IF(R37="Closed Spells",-5,-10)))</f>
        <v>-10</v>
      </c>
    </row>
    <row r="39" spans="1:26" ht="15" customHeight="1" thickBot="1" x14ac:dyDescent="0.3"/>
    <row r="40" spans="1:26" ht="15" customHeight="1" x14ac:dyDescent="0.25">
      <c r="C40" s="444" t="s">
        <v>974</v>
      </c>
      <c r="D40" s="453"/>
      <c r="E40" s="453"/>
      <c r="F40" s="453"/>
      <c r="G40" s="453"/>
      <c r="H40" s="453"/>
      <c r="I40" s="453"/>
      <c r="J40" s="453"/>
      <c r="K40" s="453"/>
      <c r="L40" s="454"/>
    </row>
    <row r="41" spans="1:26" x14ac:dyDescent="0.25">
      <c r="C41" s="455"/>
      <c r="D41" s="456"/>
      <c r="E41" s="456"/>
      <c r="F41" s="456"/>
      <c r="G41" s="456"/>
      <c r="H41" s="456"/>
      <c r="I41" s="456"/>
      <c r="J41" s="456"/>
      <c r="K41" s="456"/>
      <c r="L41" s="457"/>
    </row>
    <row r="42" spans="1:26" x14ac:dyDescent="0.25">
      <c r="C42" s="455"/>
      <c r="D42" s="456"/>
      <c r="E42" s="456"/>
      <c r="F42" s="456"/>
      <c r="G42" s="456"/>
      <c r="H42" s="456"/>
      <c r="I42" s="456"/>
      <c r="J42" s="456"/>
      <c r="K42" s="456"/>
      <c r="L42" s="457"/>
    </row>
    <row r="43" spans="1:26" ht="15" customHeight="1" x14ac:dyDescent="0.25">
      <c r="C43" s="455"/>
      <c r="D43" s="456"/>
      <c r="E43" s="456"/>
      <c r="F43" s="456"/>
      <c r="G43" s="456"/>
      <c r="H43" s="456"/>
      <c r="I43" s="456"/>
      <c r="J43" s="456"/>
      <c r="K43" s="456"/>
      <c r="L43" s="457"/>
    </row>
    <row r="44" spans="1:26" x14ac:dyDescent="0.25">
      <c r="C44" s="455"/>
      <c r="D44" s="456"/>
      <c r="E44" s="456"/>
      <c r="F44" s="456"/>
      <c r="G44" s="456"/>
      <c r="H44" s="456"/>
      <c r="I44" s="456"/>
      <c r="J44" s="456"/>
      <c r="K44" s="456"/>
      <c r="L44" s="457"/>
    </row>
    <row r="45" spans="1:26" ht="15.75" thickBot="1" x14ac:dyDescent="0.3">
      <c r="C45" s="458"/>
      <c r="D45" s="459"/>
      <c r="E45" s="459"/>
      <c r="F45" s="459"/>
      <c r="G45" s="459"/>
      <c r="H45" s="459"/>
      <c r="I45" s="459"/>
      <c r="J45" s="459"/>
      <c r="K45" s="459"/>
      <c r="L45" s="460"/>
    </row>
  </sheetData>
  <mergeCells count="196">
    <mergeCell ref="A1:Z1"/>
    <mergeCell ref="J5:M5"/>
    <mergeCell ref="J24:Q30"/>
    <mergeCell ref="T35:W35"/>
    <mergeCell ref="T36:W36"/>
    <mergeCell ref="T37:W37"/>
    <mergeCell ref="J13:N13"/>
    <mergeCell ref="J14:N14"/>
    <mergeCell ref="J15:N15"/>
    <mergeCell ref="J16:N16"/>
    <mergeCell ref="J17:N17"/>
    <mergeCell ref="J18:N18"/>
    <mergeCell ref="J19:N19"/>
    <mergeCell ref="J20:N20"/>
    <mergeCell ref="J21:N21"/>
    <mergeCell ref="J22:N22"/>
    <mergeCell ref="J23:N23"/>
    <mergeCell ref="T12:W12"/>
    <mergeCell ref="T13:W13"/>
    <mergeCell ref="T14:W14"/>
    <mergeCell ref="T15:W15"/>
    <mergeCell ref="T16:W16"/>
    <mergeCell ref="T17:W17"/>
    <mergeCell ref="T19:W19"/>
    <mergeCell ref="T20:W20"/>
    <mergeCell ref="T21:W21"/>
    <mergeCell ref="T22:W22"/>
    <mergeCell ref="T23:W23"/>
    <mergeCell ref="T24:W24"/>
    <mergeCell ref="T25:W25"/>
    <mergeCell ref="T26:W26"/>
    <mergeCell ref="R2:Z2"/>
    <mergeCell ref="T27:W27"/>
    <mergeCell ref="T28:W28"/>
    <mergeCell ref="T29:W29"/>
    <mergeCell ref="T30:W30"/>
    <mergeCell ref="T31:W31"/>
    <mergeCell ref="T32:W32"/>
    <mergeCell ref="T33:W33"/>
    <mergeCell ref="T34:W34"/>
    <mergeCell ref="R34:S34"/>
    <mergeCell ref="R35:S35"/>
    <mergeCell ref="R36:S36"/>
    <mergeCell ref="R37:S37"/>
    <mergeCell ref="R25:S25"/>
    <mergeCell ref="R26:S26"/>
    <mergeCell ref="R27:S27"/>
    <mergeCell ref="R28:S28"/>
    <mergeCell ref="R29:S29"/>
    <mergeCell ref="R30:S30"/>
    <mergeCell ref="R31:S31"/>
    <mergeCell ref="R32:S32"/>
    <mergeCell ref="R33:S33"/>
    <mergeCell ref="T3:W3"/>
    <mergeCell ref="R17:S17"/>
    <mergeCell ref="R18:S18"/>
    <mergeCell ref="R19:S19"/>
    <mergeCell ref="R20:S20"/>
    <mergeCell ref="R21:S21"/>
    <mergeCell ref="R22:S22"/>
    <mergeCell ref="R23:S23"/>
    <mergeCell ref="R24:S24"/>
    <mergeCell ref="R12:S12"/>
    <mergeCell ref="R13:S13"/>
    <mergeCell ref="R14:S14"/>
    <mergeCell ref="R15:S15"/>
    <mergeCell ref="R16:S16"/>
    <mergeCell ref="T4:W4"/>
    <mergeCell ref="T5:W5"/>
    <mergeCell ref="T6:W6"/>
    <mergeCell ref="T7:W7"/>
    <mergeCell ref="T8:W8"/>
    <mergeCell ref="T9:W9"/>
    <mergeCell ref="T10:W10"/>
    <mergeCell ref="R11:S11"/>
    <mergeCell ref="T11:W11"/>
    <mergeCell ref="T18:W18"/>
    <mergeCell ref="R4:S4"/>
    <mergeCell ref="F24:H24"/>
    <mergeCell ref="B24:D24"/>
    <mergeCell ref="R5:S5"/>
    <mergeCell ref="R10:S10"/>
    <mergeCell ref="A20:C20"/>
    <mergeCell ref="J7:N7"/>
    <mergeCell ref="J8:N8"/>
    <mergeCell ref="C6:E6"/>
    <mergeCell ref="C7:E7"/>
    <mergeCell ref="A17:C17"/>
    <mergeCell ref="A16:C16"/>
    <mergeCell ref="A15:C15"/>
    <mergeCell ref="J37:K37"/>
    <mergeCell ref="R6:S6"/>
    <mergeCell ref="R7:S7"/>
    <mergeCell ref="R8:S8"/>
    <mergeCell ref="R9:S9"/>
    <mergeCell ref="J6:N6"/>
    <mergeCell ref="A25:C25"/>
    <mergeCell ref="A26:C26"/>
    <mergeCell ref="P37:Q37"/>
    <mergeCell ref="P36:Q36"/>
    <mergeCell ref="C32:F32"/>
    <mergeCell ref="C33:F33"/>
    <mergeCell ref="C34:F34"/>
    <mergeCell ref="C35:F35"/>
    <mergeCell ref="C37:F37"/>
    <mergeCell ref="C36:F36"/>
    <mergeCell ref="C31:F31"/>
    <mergeCell ref="P31:Q31"/>
    <mergeCell ref="P32:Q32"/>
    <mergeCell ref="P33:Q33"/>
    <mergeCell ref="N37:O37"/>
    <mergeCell ref="N36:O36"/>
    <mergeCell ref="L36:M36"/>
    <mergeCell ref="N35:O35"/>
    <mergeCell ref="P2:Q2"/>
    <mergeCell ref="P3:Q3"/>
    <mergeCell ref="P4:Q4"/>
    <mergeCell ref="D2:L2"/>
    <mergeCell ref="D3:L3"/>
    <mergeCell ref="D4:L4"/>
    <mergeCell ref="F8:G8"/>
    <mergeCell ref="P34:Q34"/>
    <mergeCell ref="P35:Q35"/>
    <mergeCell ref="N31:O31"/>
    <mergeCell ref="N32:O32"/>
    <mergeCell ref="N33:O33"/>
    <mergeCell ref="N34:O34"/>
    <mergeCell ref="J9:N9"/>
    <mergeCell ref="J10:N10"/>
    <mergeCell ref="J11:N11"/>
    <mergeCell ref="J12:N12"/>
    <mergeCell ref="A2:C2"/>
    <mergeCell ref="A3:C3"/>
    <mergeCell ref="A4:C4"/>
    <mergeCell ref="M2:O2"/>
    <mergeCell ref="M3:O3"/>
    <mergeCell ref="M4:O4"/>
    <mergeCell ref="A5:B5"/>
    <mergeCell ref="A6:B6"/>
    <mergeCell ref="A7:B7"/>
    <mergeCell ref="F5:G5"/>
    <mergeCell ref="F6:G6"/>
    <mergeCell ref="H5:I5"/>
    <mergeCell ref="H6:I6"/>
    <mergeCell ref="H7:I7"/>
    <mergeCell ref="F7:G7"/>
    <mergeCell ref="C5:E5"/>
    <mergeCell ref="F11:G11"/>
    <mergeCell ref="F10:G10"/>
    <mergeCell ref="H8:I8"/>
    <mergeCell ref="H11:I11"/>
    <mergeCell ref="H10:I10"/>
    <mergeCell ref="F9:G9"/>
    <mergeCell ref="H9:I9"/>
    <mergeCell ref="C9:E9"/>
    <mergeCell ref="C8:E8"/>
    <mergeCell ref="C10:E10"/>
    <mergeCell ref="C11:E11"/>
    <mergeCell ref="A30:C30"/>
    <mergeCell ref="A13:C13"/>
    <mergeCell ref="A12:C12"/>
    <mergeCell ref="A9:B9"/>
    <mergeCell ref="A10:B10"/>
    <mergeCell ref="A11:B11"/>
    <mergeCell ref="A8:B8"/>
    <mergeCell ref="A21:C21"/>
    <mergeCell ref="A22:C22"/>
    <mergeCell ref="A19:C19"/>
    <mergeCell ref="A18:C18"/>
    <mergeCell ref="A23:C23"/>
    <mergeCell ref="A27:C27"/>
    <mergeCell ref="A14:C14"/>
    <mergeCell ref="AC12:AL22"/>
    <mergeCell ref="C40:L45"/>
    <mergeCell ref="AC4:AL9"/>
    <mergeCell ref="A36:B36"/>
    <mergeCell ref="A31:B31"/>
    <mergeCell ref="A32:B32"/>
    <mergeCell ref="A33:B33"/>
    <mergeCell ref="A34:B34"/>
    <mergeCell ref="A35:B35"/>
    <mergeCell ref="A37:B37"/>
    <mergeCell ref="J31:K31"/>
    <mergeCell ref="L31:M31"/>
    <mergeCell ref="J32:K32"/>
    <mergeCell ref="L32:M32"/>
    <mergeCell ref="J33:K33"/>
    <mergeCell ref="L33:M33"/>
    <mergeCell ref="J34:K34"/>
    <mergeCell ref="L34:M34"/>
    <mergeCell ref="J35:K35"/>
    <mergeCell ref="L35:M35"/>
    <mergeCell ref="L37:M37"/>
    <mergeCell ref="J36:K36"/>
    <mergeCell ref="A28:C28"/>
    <mergeCell ref="A29:C29"/>
  </mergeCells>
  <printOptions horizontalCentered="1" verticalCentered="1"/>
  <pageMargins left="0.25" right="0.25" top="0.25" bottom="0.25" header="0.3" footer="0.3"/>
  <pageSetup scale="66" orientation="landscape" horizontalDpi="203" verticalDpi="203" r:id="rId1"/>
  <extLst>
    <ext xmlns:x14="http://schemas.microsoft.com/office/spreadsheetml/2009/9/main" uri="{CCE6A557-97BC-4b89-ADB6-D9C93CAAB3DF}">
      <x14:dataValidations xmlns:xm="http://schemas.microsoft.com/office/excel/2006/main" count="5">
        <x14:dataValidation type="list" allowBlank="1" showInputMessage="1" showErrorMessage="1" xr:uid="{1219F42A-FF77-4CC7-8E46-1FAE1779FFC0}">
          <x14:formula1>
            <xm:f>Source_Data!$DZ$4:$DZ$13</xm:f>
          </x14:formula1>
          <xm:sqref>C32:F32</xm:sqref>
        </x14:dataValidation>
        <x14:dataValidation type="list" allowBlank="1" showInputMessage="1" showErrorMessage="1" xr:uid="{968E8BBD-DC6F-4B41-82D6-94BAB65CB64E}">
          <x14:formula1>
            <xm:f>Source_Data!$DZ$14:$DZ$23</xm:f>
          </x14:formula1>
          <xm:sqref>C33:F33</xm:sqref>
        </x14:dataValidation>
        <x14:dataValidation type="list" allowBlank="1" showInputMessage="1" showErrorMessage="1" xr:uid="{D64D1212-5038-4321-9A73-C600A5A22149}">
          <x14:formula1>
            <xm:f>Source_Data!$DZ$24:$DZ$33</xm:f>
          </x14:formula1>
          <xm:sqref>C34:F34</xm:sqref>
        </x14:dataValidation>
        <x14:dataValidation type="list" allowBlank="1" showInputMessage="1" showErrorMessage="1" xr:uid="{A131FCCE-64D0-427B-BD96-DC51C96985FC}">
          <x14:formula1>
            <xm:f>Source_Data!$DZ$34:$DZ$43</xm:f>
          </x14:formula1>
          <xm:sqref>C35:F35</xm:sqref>
        </x14:dataValidation>
        <x14:dataValidation type="list" allowBlank="1" showInputMessage="1" showErrorMessage="1" xr:uid="{87858E61-6389-4DB5-BA3A-812A96CF6046}">
          <x14:formula1>
            <xm:f>Source_Data!$EI$4:$EI$8</xm:f>
          </x14:formula1>
          <xm:sqref>C37:F37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49A50-FB2C-4DD9-9DB8-25E8BC903087}">
  <sheetPr>
    <tabColor theme="7" tint="0.59999389629810485"/>
    <pageSetUpPr fitToPage="1"/>
  </sheetPr>
  <dimension ref="A1:R84"/>
  <sheetViews>
    <sheetView workbookViewId="0">
      <selection activeCell="U20" sqref="U20"/>
    </sheetView>
  </sheetViews>
  <sheetFormatPr defaultRowHeight="15" x14ac:dyDescent="0.25"/>
  <cols>
    <col min="1" max="1" width="32.85546875" customWidth="1"/>
    <col min="2" max="3" width="9.140625" style="1"/>
    <col min="4" max="4" width="11" style="1" customWidth="1"/>
    <col min="5" max="5" width="32.85546875" bestFit="1" customWidth="1"/>
    <col min="8" max="8" width="11" customWidth="1"/>
    <col min="9" max="9" width="32.85546875" customWidth="1"/>
    <col min="12" max="12" width="11" customWidth="1"/>
  </cols>
  <sheetData>
    <row r="1" spans="1:18" ht="63" thickBot="1" x14ac:dyDescent="1">
      <c r="A1" s="560" t="s">
        <v>0</v>
      </c>
      <c r="B1" s="561"/>
      <c r="C1" s="561"/>
      <c r="D1" s="561"/>
      <c r="E1" s="561"/>
      <c r="F1" s="561"/>
      <c r="G1" s="561"/>
      <c r="H1" s="561"/>
      <c r="I1" s="561"/>
      <c r="J1" s="561"/>
      <c r="K1" s="561"/>
      <c r="L1" s="562"/>
    </row>
    <row r="2" spans="1:18" ht="30.75" thickBot="1" x14ac:dyDescent="0.3">
      <c r="A2" s="213" t="s">
        <v>74</v>
      </c>
      <c r="B2" s="210" t="s">
        <v>232</v>
      </c>
      <c r="C2" s="211" t="s">
        <v>78</v>
      </c>
      <c r="D2" s="214" t="s">
        <v>389</v>
      </c>
      <c r="E2" s="213" t="s">
        <v>74</v>
      </c>
      <c r="F2" s="210" t="s">
        <v>232</v>
      </c>
      <c r="G2" s="211" t="s">
        <v>78</v>
      </c>
      <c r="H2" s="214" t="s">
        <v>389</v>
      </c>
      <c r="I2" s="213" t="s">
        <v>74</v>
      </c>
      <c r="J2" s="210" t="s">
        <v>232</v>
      </c>
      <c r="K2" s="211" t="s">
        <v>78</v>
      </c>
      <c r="L2" s="214" t="s">
        <v>389</v>
      </c>
    </row>
    <row r="3" spans="1:18" ht="15.75" customHeight="1" x14ac:dyDescent="0.25">
      <c r="A3" s="575" t="s">
        <v>954</v>
      </c>
      <c r="B3" s="576"/>
      <c r="C3" s="576"/>
      <c r="D3" s="577"/>
      <c r="E3" s="575" t="s">
        <v>955</v>
      </c>
      <c r="F3" s="576"/>
      <c r="G3" s="576"/>
      <c r="H3" s="577"/>
      <c r="I3" s="575" t="s">
        <v>956</v>
      </c>
      <c r="J3" s="576"/>
      <c r="K3" s="576"/>
      <c r="L3" s="577"/>
      <c r="N3" s="444" t="s">
        <v>976</v>
      </c>
      <c r="O3" s="453"/>
      <c r="P3" s="453"/>
      <c r="Q3" s="453"/>
      <c r="R3" s="454"/>
    </row>
    <row r="4" spans="1:18" x14ac:dyDescent="0.25">
      <c r="A4" s="21" t="str">
        <f>'Skill Workbook'!$G18</f>
        <v>Beserker</v>
      </c>
      <c r="B4" s="1">
        <f>'Skill Workbook'!$AE18</f>
        <v>0</v>
      </c>
      <c r="C4" s="26">
        <f ca="1">'Skill Workbook'!$AL18</f>
        <v>-25</v>
      </c>
      <c r="D4" s="32" t="str">
        <f>IF('Skill Workbook'!$H18="","-",'Skill Workbook'!$AK18)</f>
        <v>-</v>
      </c>
      <c r="E4" s="21" t="str">
        <f>'Skill Workbook'!$G46</f>
        <v>Archery</v>
      </c>
      <c r="F4" s="1">
        <f>'Skill Workbook'!$AE46</f>
        <v>0</v>
      </c>
      <c r="G4" s="26">
        <f ca="1">'Skill Workbook'!$AL46</f>
        <v>-25</v>
      </c>
      <c r="H4" s="32" t="str">
        <f>IF('Skill Workbook'!$H46="","-",'Skill Workbook'!$AK46)</f>
        <v>-</v>
      </c>
      <c r="I4" s="21" t="str">
        <f>'Skill Workbook'!$G35</f>
        <v>Bo-Jutsu</v>
      </c>
      <c r="J4" s="1">
        <f>'Skill Workbook'!$AE35</f>
        <v>0</v>
      </c>
      <c r="K4" s="26">
        <f ca="1">'Skill Workbook'!$AL35</f>
        <v>-25</v>
      </c>
      <c r="L4" s="32" t="str">
        <f>IF('Skill Workbook'!$H35="","-",'Skill Workbook'!$AK35)</f>
        <v>-</v>
      </c>
      <c r="N4" s="455"/>
      <c r="O4" s="456"/>
      <c r="P4" s="456"/>
      <c r="Q4" s="456"/>
      <c r="R4" s="457"/>
    </row>
    <row r="5" spans="1:18" x14ac:dyDescent="0.25">
      <c r="A5" s="21" t="str">
        <f>'Skill Workbook'!$G19</f>
        <v>Commander</v>
      </c>
      <c r="B5" s="1">
        <f>'Skill Workbook'!$AE19</f>
        <v>0</v>
      </c>
      <c r="C5" s="26">
        <f ca="1">'Skill Workbook'!$AL19</f>
        <v>-25</v>
      </c>
      <c r="D5" s="32" t="str">
        <f>IF('Skill Workbook'!$H19="","-",'Skill Workbook'!$AK19)</f>
        <v>-</v>
      </c>
      <c r="E5" s="21" t="str">
        <f>'Skill Workbook'!$G47</f>
        <v>Bodyguard</v>
      </c>
      <c r="F5" s="1">
        <f>'Skill Workbook'!$AE47</f>
        <v>0</v>
      </c>
      <c r="G5" s="26">
        <f ca="1">'Skill Workbook'!$AL47</f>
        <v>-25</v>
      </c>
      <c r="H5" s="32" t="str">
        <f>IF('Skill Workbook'!$H47="","-",'Skill Workbook'!$AK47)</f>
        <v>-</v>
      </c>
      <c r="I5" s="21" t="str">
        <f>'Skill Workbook'!$G36</f>
        <v>Golden Claw</v>
      </c>
      <c r="J5" s="1">
        <f>'Skill Workbook'!$AE36</f>
        <v>0</v>
      </c>
      <c r="K5" s="26">
        <f ca="1">'Skill Workbook'!$AL36</f>
        <v>-25</v>
      </c>
      <c r="L5" s="32" t="str">
        <f>IF('Skill Workbook'!$H36="","-",'Skill Workbook'!$AK36)</f>
        <v>-</v>
      </c>
      <c r="N5" s="455"/>
      <c r="O5" s="456"/>
      <c r="P5" s="456"/>
      <c r="Q5" s="456"/>
      <c r="R5" s="457"/>
    </row>
    <row r="6" spans="1:18" x14ac:dyDescent="0.25">
      <c r="A6" s="21" t="str">
        <f>'Skill Workbook'!$G20</f>
        <v>Doppelsoldner</v>
      </c>
      <c r="B6" s="1">
        <f>'Skill Workbook'!$AE20</f>
        <v>0</v>
      </c>
      <c r="C6" s="26">
        <f ca="1">'Skill Workbook'!$AL20</f>
        <v>-25</v>
      </c>
      <c r="D6" s="32" t="str">
        <f>IF('Skill Workbook'!$H20="","-",'Skill Workbook'!$AK20)</f>
        <v>-</v>
      </c>
      <c r="E6" s="21" t="str">
        <f>'Skill Workbook'!$G48</f>
        <v>Crossbow</v>
      </c>
      <c r="F6" s="1">
        <f>'Skill Workbook'!$AE48</f>
        <v>0</v>
      </c>
      <c r="G6" s="26">
        <f ca="1">'Skill Workbook'!$AL48</f>
        <v>-25</v>
      </c>
      <c r="H6" s="32" t="str">
        <f>IF('Skill Workbook'!$H48="","-",'Skill Workbook'!$AK48)</f>
        <v>-</v>
      </c>
      <c r="I6" s="21" t="str">
        <f>'Skill Workbook'!$G37</f>
        <v>Iron Robe</v>
      </c>
      <c r="J6" s="1">
        <f>'Skill Workbook'!$AE37</f>
        <v>0</v>
      </c>
      <c r="K6" s="26">
        <f ca="1">'Skill Workbook'!$AL37</f>
        <v>-25</v>
      </c>
      <c r="L6" s="32" t="str">
        <f>IF('Skill Workbook'!$H37="","-",'Skill Workbook'!$AK37)</f>
        <v>-</v>
      </c>
      <c r="N6" s="455"/>
      <c r="O6" s="456"/>
      <c r="P6" s="456"/>
      <c r="Q6" s="456"/>
      <c r="R6" s="457"/>
    </row>
    <row r="7" spans="1:18" x14ac:dyDescent="0.25">
      <c r="A7" s="21" t="str">
        <f>'Skill Workbook'!$G21</f>
        <v>Flail</v>
      </c>
      <c r="B7" s="1">
        <f>'Skill Workbook'!$AE21</f>
        <v>0</v>
      </c>
      <c r="C7" s="26">
        <f ca="1">'Skill Workbook'!$AL21</f>
        <v>-25</v>
      </c>
      <c r="D7" s="32" t="str">
        <f>IF('Skill Workbook'!$H21="","-",'Skill Workbook'!$AK21)</f>
        <v>-</v>
      </c>
      <c r="E7" s="21" t="str">
        <f>'Skill Workbook'!$G49</f>
        <v>Dark Blade</v>
      </c>
      <c r="F7" s="1">
        <f>'Skill Workbook'!$AE49</f>
        <v>0</v>
      </c>
      <c r="G7" s="26">
        <f ca="1">'Skill Workbook'!$AL49</f>
        <v>-25</v>
      </c>
      <c r="H7" s="32" t="str">
        <f>IF('Skill Workbook'!$H49="","-",'Skill Workbook'!$AK49)</f>
        <v>-</v>
      </c>
      <c r="I7" s="21" t="str">
        <f>'Skill Workbook'!$G38</f>
        <v>Kraken Wrestling</v>
      </c>
      <c r="J7" s="1">
        <f>'Skill Workbook'!$AE38</f>
        <v>0</v>
      </c>
      <c r="K7" s="26">
        <f ca="1">'Skill Workbook'!$AL38</f>
        <v>-25</v>
      </c>
      <c r="L7" s="32" t="str">
        <f>IF('Skill Workbook'!$H38="","-",'Skill Workbook'!$AK38)</f>
        <v>-</v>
      </c>
      <c r="N7" s="455"/>
      <c r="O7" s="456"/>
      <c r="P7" s="456"/>
      <c r="Q7" s="456"/>
      <c r="R7" s="457"/>
    </row>
    <row r="8" spans="1:18" ht="15.75" thickBot="1" x14ac:dyDescent="0.3">
      <c r="A8" s="21" t="str">
        <f>'Skill Workbook'!$G22</f>
        <v>Horse Archer</v>
      </c>
      <c r="B8" s="1">
        <f>'Skill Workbook'!$AE22</f>
        <v>0</v>
      </c>
      <c r="C8" s="26">
        <f ca="1">'Skill Workbook'!$AL22</f>
        <v>-25</v>
      </c>
      <c r="D8" s="32" t="str">
        <f>IF('Skill Workbook'!$H22="","-",'Skill Workbook'!$AK22)</f>
        <v>-</v>
      </c>
      <c r="E8" s="21" t="str">
        <f>'Skill Workbook'!$G50</f>
        <v>Dual Wielding</v>
      </c>
      <c r="F8" s="1">
        <f>'Skill Workbook'!$AE50</f>
        <v>0</v>
      </c>
      <c r="G8" s="26">
        <f ca="1">'Skill Workbook'!$AL50</f>
        <v>-25</v>
      </c>
      <c r="H8" s="32" t="str">
        <f>IF('Skill Workbook'!$H50="","-",'Skill Workbook'!$AK50)</f>
        <v>-</v>
      </c>
      <c r="I8" s="21" t="str">
        <f>'Skill Workbook'!$G39</f>
        <v>Mountain Grappler</v>
      </c>
      <c r="J8" s="1">
        <f>'Skill Workbook'!$AE39</f>
        <v>0</v>
      </c>
      <c r="K8" s="26">
        <f ca="1">'Skill Workbook'!$AL39</f>
        <v>-25</v>
      </c>
      <c r="L8" s="32" t="str">
        <f>IF('Skill Workbook'!$H39="","-",'Skill Workbook'!$AK39)</f>
        <v>-</v>
      </c>
      <c r="N8" s="458"/>
      <c r="O8" s="459"/>
      <c r="P8" s="459"/>
      <c r="Q8" s="459"/>
      <c r="R8" s="460"/>
    </row>
    <row r="9" spans="1:18" x14ac:dyDescent="0.25">
      <c r="A9" s="21" t="str">
        <f>'Skill Workbook'!$G23</f>
        <v>Mounted Knight</v>
      </c>
      <c r="B9" s="1">
        <f>'Skill Workbook'!$AE23</f>
        <v>0</v>
      </c>
      <c r="C9" s="26">
        <f ca="1">'Skill Workbook'!$AL23</f>
        <v>-25</v>
      </c>
      <c r="D9" s="32" t="str">
        <f>IF('Skill Workbook'!$H23="","-",'Skill Workbook'!$AK23)</f>
        <v>-</v>
      </c>
      <c r="E9" s="21" t="str">
        <f>'Skill Workbook'!$G51</f>
        <v>Fencing</v>
      </c>
      <c r="F9" s="1">
        <f>'Skill Workbook'!$AE51</f>
        <v>0</v>
      </c>
      <c r="G9" s="26">
        <f ca="1">'Skill Workbook'!$AL51</f>
        <v>-25</v>
      </c>
      <c r="H9" s="32" t="str">
        <f>IF('Skill Workbook'!$H51="","-",'Skill Workbook'!$AK51)</f>
        <v>-</v>
      </c>
      <c r="I9" s="21" t="str">
        <f>'Skill Workbook'!$G40</f>
        <v>Shadow Strike</v>
      </c>
      <c r="J9" s="1">
        <f>'Skill Workbook'!$AE40</f>
        <v>0</v>
      </c>
      <c r="K9" s="26">
        <f ca="1">'Skill Workbook'!$AL40</f>
        <v>-25</v>
      </c>
      <c r="L9" s="32" t="str">
        <f>IF('Skill Workbook'!$H40="","-",'Skill Workbook'!$AK40)</f>
        <v>-</v>
      </c>
    </row>
    <row r="10" spans="1:18" x14ac:dyDescent="0.25">
      <c r="A10" s="21" t="str">
        <f>'Skill Workbook'!$G24</f>
        <v>Pikeman</v>
      </c>
      <c r="B10" s="1">
        <f>'Skill Workbook'!$AE24</f>
        <v>0</v>
      </c>
      <c r="C10" s="26">
        <f ca="1">'Skill Workbook'!$AL24</f>
        <v>-25</v>
      </c>
      <c r="D10" s="32" t="str">
        <f>IF('Skill Workbook'!$H24="","-",'Skill Workbook'!$AK24)</f>
        <v>-</v>
      </c>
      <c r="E10" s="21" t="str">
        <f>'Skill Workbook'!$G52</f>
        <v>Knife Master</v>
      </c>
      <c r="F10" s="1">
        <f>'Skill Workbook'!$AE52</f>
        <v>0</v>
      </c>
      <c r="G10" s="26">
        <f ca="1">'Skill Workbook'!$AL52</f>
        <v>-25</v>
      </c>
      <c r="H10" s="32" t="str">
        <f>IF('Skill Workbook'!$H52="","-",'Skill Workbook'!$AK52)</f>
        <v>-</v>
      </c>
      <c r="I10" s="21" t="str">
        <f>'Skill Workbook'!$G41</f>
        <v>West Wind</v>
      </c>
      <c r="J10" s="1">
        <f>'Skill Workbook'!$AE41</f>
        <v>0</v>
      </c>
      <c r="K10" s="26">
        <f ca="1">'Skill Workbook'!$AL41</f>
        <v>-25</v>
      </c>
      <c r="L10" s="32" t="str">
        <f>IF('Skill Workbook'!$H41="","-",'Skill Workbook'!$AK41)</f>
        <v>-</v>
      </c>
    </row>
    <row r="11" spans="1:18" ht="15.75" thickBot="1" x14ac:dyDescent="0.3">
      <c r="A11" s="21" t="str">
        <f>'Skill Workbook'!$G25</f>
        <v>Shieldbearer</v>
      </c>
      <c r="B11" s="1">
        <f>'Skill Workbook'!$AE25</f>
        <v>0</v>
      </c>
      <c r="C11" s="26">
        <f ca="1">'Skill Workbook'!$AL25</f>
        <v>-25</v>
      </c>
      <c r="D11" s="32" t="str">
        <f>IF('Skill Workbook'!$H25="","-",'Skill Workbook'!$AK25)</f>
        <v>-</v>
      </c>
      <c r="E11" s="21" t="str">
        <f>'Skill Workbook'!$G53</f>
        <v>Sword Master</v>
      </c>
      <c r="F11" s="1">
        <f>'Skill Workbook'!$AE53</f>
        <v>0</v>
      </c>
      <c r="G11" s="26">
        <f ca="1">'Skill Workbook'!$AL53</f>
        <v>-25</v>
      </c>
      <c r="H11" s="32" t="str">
        <f>IF('Skill Workbook'!$H53="","-",'Skill Workbook'!$AK53)</f>
        <v>-</v>
      </c>
      <c r="I11" s="21" t="str">
        <f>'Skill Workbook'!$G42</f>
        <v>Wyvern Style</v>
      </c>
      <c r="J11" s="1">
        <f>'Skill Workbook'!$AE42</f>
        <v>0</v>
      </c>
      <c r="K11" s="26">
        <f ca="1">'Skill Workbook'!$AL42</f>
        <v>-25</v>
      </c>
      <c r="L11" s="32" t="str">
        <f>IF('Skill Workbook'!$H42="","-",'Skill Workbook'!$AK42)</f>
        <v>-</v>
      </c>
    </row>
    <row r="12" spans="1:18" ht="15.75" x14ac:dyDescent="0.25">
      <c r="A12" s="575" t="s">
        <v>80</v>
      </c>
      <c r="B12" s="576"/>
      <c r="C12" s="576"/>
      <c r="D12" s="577"/>
      <c r="E12" s="575" t="s">
        <v>141</v>
      </c>
      <c r="F12" s="576"/>
      <c r="G12" s="576"/>
      <c r="H12" s="577"/>
      <c r="I12" s="575" t="s">
        <v>197</v>
      </c>
      <c r="J12" s="576"/>
      <c r="K12" s="576"/>
      <c r="L12" s="577"/>
    </row>
    <row r="13" spans="1:18" x14ac:dyDescent="0.25">
      <c r="A13" s="21" t="str">
        <f>'Skill Workbook'!F10&amp;IF('Skill Workbook'!G10="",""," ("&amp;'Skill Workbook'!G10&amp;")")&amp;IF('Skill Workbook'!H10="",""," ("&amp;'Skill Workbook'!H10&amp;")")</f>
        <v>Animal Handling (Speciality 1)</v>
      </c>
      <c r="B13" s="1">
        <f>'Skill Workbook'!AE10</f>
        <v>0</v>
      </c>
      <c r="C13" s="26" t="e">
        <f ca="1">'Skill Workbook'!AL10</f>
        <v>#N/A</v>
      </c>
      <c r="D13" s="32" t="str">
        <f>IF('Skill Workbook'!H10="","-",'Skill Workbook'!AK10)</f>
        <v>-</v>
      </c>
      <c r="E13" s="21" t="str">
        <f>'Skill Workbook'!F89&amp;IF('Skill Workbook'!G89="",""," ("&amp;'Skill Workbook'!G89&amp;")")&amp;IF('Skill Workbook'!H89="",""," ("&amp;'Skill Workbook'!H89&amp;")")</f>
        <v>Navigation</v>
      </c>
      <c r="F13" s="1">
        <f>'Skill Workbook'!AE89</f>
        <v>0</v>
      </c>
      <c r="G13" s="26" t="e">
        <f ca="1">'Skill Workbook'!AL89</f>
        <v>#N/A</v>
      </c>
      <c r="H13" s="32" t="str">
        <f>IF('Skill Workbook'!H89="","-",'Skill Workbook'!AK89)</f>
        <v>-</v>
      </c>
      <c r="I13" s="21" t="str">
        <f>'Skill Workbook'!F152&amp;IF('Skill Workbook'!G152="",""," ("&amp;'Skill Workbook'!G152&amp;")")&amp;IF('Skill Workbook'!H152="",""," ("&amp;'Skill Workbook'!H152&amp;")")</f>
        <v>Architecture</v>
      </c>
      <c r="J13" s="1">
        <f>'Skill Workbook'!AE152</f>
        <v>0</v>
      </c>
      <c r="K13" s="26" t="e">
        <f ca="1">'Skill Workbook'!AL152</f>
        <v>#N/A</v>
      </c>
      <c r="L13" s="32" t="str">
        <f>IF('Skill Workbook'!H152="","-",'Skill Workbook'!AK152)</f>
        <v>-</v>
      </c>
    </row>
    <row r="14" spans="1:18" x14ac:dyDescent="0.25">
      <c r="A14" s="21" t="str">
        <f>'Skill Workbook'!F11&amp;IF('Skill Workbook'!G11="",""," ("&amp;'Skill Workbook'!G11&amp;")")&amp;IF('Skill Workbook'!H11="",""," ("&amp;'Skill Workbook'!H11&amp;")")</f>
        <v>Animal Handling (Speciality 2)</v>
      </c>
      <c r="B14" s="1">
        <f>'Skill Workbook'!AE11</f>
        <v>0</v>
      </c>
      <c r="C14" s="26" t="e">
        <f ca="1">'Skill Workbook'!AL11</f>
        <v>#N/A</v>
      </c>
      <c r="D14" s="32" t="str">
        <f>IF('Skill Workbook'!H11="","-",'Skill Workbook'!AK11)</f>
        <v>-</v>
      </c>
      <c r="E14" s="21" t="str">
        <f>'Skill Workbook'!F90&amp;IF('Skill Workbook'!G90="",""," ("&amp;'Skill Workbook'!G90&amp;")")&amp;IF('Skill Workbook'!H90="",""," ("&amp;'Skill Workbook'!H90&amp;")")</f>
        <v>Piloting</v>
      </c>
      <c r="F14" s="1">
        <f>'Skill Workbook'!AE90</f>
        <v>0</v>
      </c>
      <c r="G14" s="26" t="e">
        <f ca="1">'Skill Workbook'!AL90</f>
        <v>#N/A</v>
      </c>
      <c r="H14" s="32" t="str">
        <f>IF('Skill Workbook'!H90="","-",'Skill Workbook'!AK90)</f>
        <v>-</v>
      </c>
      <c r="I14" s="21" t="str">
        <f>'Skill Workbook'!F153&amp;IF('Skill Workbook'!G153="",""," ("&amp;'Skill Workbook'!G153&amp;")")&amp;IF('Skill Workbook'!H153="",""," ("&amp;'Skill Workbook'!H153&amp;")")</f>
        <v>Astronomy</v>
      </c>
      <c r="J14" s="1">
        <f>'Skill Workbook'!AE153</f>
        <v>0</v>
      </c>
      <c r="K14" s="26" t="e">
        <f ca="1">'Skill Workbook'!AL153</f>
        <v>#N/A</v>
      </c>
      <c r="L14" s="32" t="str">
        <f>IF('Skill Workbook'!H153="","-",'Skill Workbook'!AK153)</f>
        <v>-</v>
      </c>
    </row>
    <row r="15" spans="1:18" x14ac:dyDescent="0.25">
      <c r="A15" s="21" t="str">
        <f>'Skill Workbook'!F12&amp;IF('Skill Workbook'!G12="",""," ("&amp;'Skill Workbook'!G12&amp;")")&amp;IF('Skill Workbook'!H12="",""," ("&amp;'Skill Workbook'!H12&amp;")")</f>
        <v>Animal Handling (Speciality 3)</v>
      </c>
      <c r="B15" s="1">
        <f>'Skill Workbook'!AE12</f>
        <v>0</v>
      </c>
      <c r="C15" s="26" t="e">
        <f ca="1">'Skill Workbook'!AL12</f>
        <v>#N/A</v>
      </c>
      <c r="D15" s="32" t="str">
        <f>IF('Skill Workbook'!H12="","-",'Skill Workbook'!AK12)</f>
        <v>-</v>
      </c>
      <c r="E15" s="21" t="str">
        <f>'Skill Workbook'!F91&amp;IF('Skill Workbook'!G91="",""," ("&amp;'Skill Workbook'!G91&amp;")")&amp;IF('Skill Workbook'!H91="",""," ("&amp;'Skill Workbook'!H91&amp;")")</f>
        <v>Survival (Home)</v>
      </c>
      <c r="F15" s="1">
        <f>'Skill Workbook'!AE91</f>
        <v>0</v>
      </c>
      <c r="G15" s="26" t="e">
        <f ca="1">'Skill Workbook'!AL91</f>
        <v>#N/A</v>
      </c>
      <c r="H15" s="32" t="str">
        <f>IF('Skill Workbook'!H91="","-",'Skill Workbook'!AK91)</f>
        <v>-</v>
      </c>
      <c r="I15" s="21" t="str">
        <f>'Skill Workbook'!F154&amp;IF('Skill Workbook'!G154="",""," ("&amp;'Skill Workbook'!G154&amp;")")&amp;IF('Skill Workbook'!H154="",""," ("&amp;'Skill Workbook'!H154&amp;")")</f>
        <v>Engineering</v>
      </c>
      <c r="J15" s="1">
        <f>'Skill Workbook'!AE154</f>
        <v>0</v>
      </c>
      <c r="K15" s="26" t="e">
        <f ca="1">'Skill Workbook'!AL154</f>
        <v>#N/A</v>
      </c>
      <c r="L15" s="32" t="str">
        <f>IF('Skill Workbook'!H154="","-",'Skill Workbook'!AK154)</f>
        <v>-</v>
      </c>
    </row>
    <row r="16" spans="1:18" ht="15.75" thickBot="1" x14ac:dyDescent="0.3">
      <c r="A16" s="21" t="str">
        <f>'Skill Workbook'!F13&amp;IF('Skill Workbook'!G13="",""," ("&amp;'Skill Workbook'!G13&amp;")")&amp;IF('Skill Workbook'!H13="",""," ("&amp;'Skill Workbook'!H13&amp;")")</f>
        <v>Riding (Speciality 1)</v>
      </c>
      <c r="B16" s="1">
        <f>'Skill Workbook'!AE13</f>
        <v>0</v>
      </c>
      <c r="C16" s="26" t="e">
        <f ca="1">'Skill Workbook'!AL13</f>
        <v>#N/A</v>
      </c>
      <c r="D16" s="32" t="str">
        <f>IF('Skill Workbook'!H13="","-",'Skill Workbook'!AK13)</f>
        <v>-</v>
      </c>
      <c r="E16" s="23" t="str">
        <f>'Skill Workbook'!F92&amp;IF('Skill Workbook'!G92="",""," ("&amp;'Skill Workbook'!G92&amp;")")&amp;IF('Skill Workbook'!H92="",""," ("&amp;'Skill Workbook'!H92&amp;")")</f>
        <v>Survival</v>
      </c>
      <c r="F16" s="24">
        <f>'Skill Workbook'!AE92</f>
        <v>0</v>
      </c>
      <c r="G16" s="27" t="e">
        <f ca="1">'Skill Workbook'!AL92</f>
        <v>#N/A</v>
      </c>
      <c r="H16" s="34" t="str">
        <f>IF('Skill Workbook'!H92="","-",'Skill Workbook'!AK92)</f>
        <v>-</v>
      </c>
      <c r="I16" s="23" t="str">
        <f>'Skill Workbook'!F155&amp;IF('Skill Workbook'!G155="",""," ("&amp;'Skill Workbook'!G155&amp;")")&amp;IF('Skill Workbook'!H155="",""," ("&amp;'Skill Workbook'!H155&amp;")")</f>
        <v>Mathematics</v>
      </c>
      <c r="J16" s="24">
        <f>'Skill Workbook'!AE155</f>
        <v>0</v>
      </c>
      <c r="K16" s="27" t="e">
        <f ca="1">'Skill Workbook'!AL155</f>
        <v>#N/A</v>
      </c>
      <c r="L16" s="34" t="str">
        <f>IF('Skill Workbook'!H155="","-",'Skill Workbook'!AK155)</f>
        <v>-</v>
      </c>
    </row>
    <row r="17" spans="1:12" ht="15.75" x14ac:dyDescent="0.25">
      <c r="A17" s="21" t="str">
        <f>'Skill Workbook'!F14&amp;IF('Skill Workbook'!G14="",""," ("&amp;'Skill Workbook'!G14&amp;")")&amp;IF('Skill Workbook'!H14="",""," ("&amp;'Skill Workbook'!H14&amp;")")</f>
        <v>Riding (Speciality 2)</v>
      </c>
      <c r="B17" s="1">
        <f>'Skill Workbook'!AE14</f>
        <v>0</v>
      </c>
      <c r="C17" s="26" t="e">
        <f ca="1">'Skill Workbook'!AL14</f>
        <v>#N/A</v>
      </c>
      <c r="D17" s="32" t="str">
        <f>IF('Skill Workbook'!H14="","-",'Skill Workbook'!AK14)</f>
        <v>-</v>
      </c>
      <c r="E17" s="575" t="s">
        <v>263</v>
      </c>
      <c r="F17" s="576"/>
      <c r="G17" s="576"/>
      <c r="H17" s="577"/>
      <c r="I17" s="575" t="s">
        <v>203</v>
      </c>
      <c r="J17" s="576"/>
      <c r="K17" s="576"/>
      <c r="L17" s="577"/>
    </row>
    <row r="18" spans="1:12" ht="15.75" thickBot="1" x14ac:dyDescent="0.3">
      <c r="A18" s="23" t="str">
        <f>'Skill Workbook'!F15&amp;IF('Skill Workbook'!G15="",""," ("&amp;'Skill Workbook'!G15&amp;")")&amp;IF('Skill Workbook'!H15="",""," ("&amp;'Skill Workbook'!H15&amp;")")</f>
        <v>Riding (Speciality 3)</v>
      </c>
      <c r="B18" s="24">
        <f>'Skill Workbook'!AE15</f>
        <v>0</v>
      </c>
      <c r="C18" s="27" t="e">
        <f ca="1">'Skill Workbook'!AL15</f>
        <v>#N/A</v>
      </c>
      <c r="D18" s="34" t="str">
        <f>IF('Skill Workbook'!H15="","-",'Skill Workbook'!AK15)</f>
        <v>-</v>
      </c>
      <c r="E18" s="21" t="str">
        <f>'Skill Workbook'!F93&amp;IF('Skill Workbook'!G93="",""," ("&amp;'Skill Workbook'!G93&amp;")")&amp;IF('Skill Workbook'!H93="",""," ("&amp;'Skill Workbook'!H93&amp;")")</f>
        <v>Acrobatics</v>
      </c>
      <c r="F18" s="1">
        <f>'Skill Workbook'!AE93</f>
        <v>0</v>
      </c>
      <c r="G18" s="26" t="e">
        <f ca="1">'Skill Workbook'!AL93</f>
        <v>#N/A</v>
      </c>
      <c r="H18" s="32" t="str">
        <f>IF('Skill Workbook'!H93="","-",'Skill Workbook'!AK93)</f>
        <v>-</v>
      </c>
      <c r="I18" s="21" t="str">
        <f>'Skill Workbook'!F156&amp;IF('Skill Workbook'!G156="",""," ("&amp;'Skill Workbook'!G156&amp;")")&amp;IF('Skill Workbook'!H156="",""," ("&amp;'Skill Workbook'!H156&amp;")")</f>
        <v>Influence (Charm)</v>
      </c>
      <c r="J18" s="1">
        <f>'Skill Workbook'!AE156</f>
        <v>0</v>
      </c>
      <c r="K18" s="26" t="e">
        <f ca="1">'Skill Workbook'!AL156</f>
        <v>#N/A</v>
      </c>
      <c r="L18" s="32" t="str">
        <f>IF('Skill Workbook'!H156="","-",'Skill Workbook'!AK156)</f>
        <v>-</v>
      </c>
    </row>
    <row r="19" spans="1:12" ht="15.75" x14ac:dyDescent="0.25">
      <c r="A19" s="575" t="s">
        <v>85</v>
      </c>
      <c r="B19" s="576"/>
      <c r="C19" s="576"/>
      <c r="D19" s="577"/>
      <c r="E19" s="21" t="str">
        <f>'Skill Workbook'!F94&amp;IF('Skill Workbook'!G94="",""," ("&amp;'Skill Workbook'!G94&amp;")")&amp;IF('Skill Workbook'!H94="",""," ("&amp;'Skill Workbook'!H94&amp;")")</f>
        <v>Contortions</v>
      </c>
      <c r="F19" s="1">
        <f>'Skill Workbook'!AE94</f>
        <v>0</v>
      </c>
      <c r="G19" s="26" t="e">
        <f ca="1">'Skill Workbook'!AL94</f>
        <v>#N/A</v>
      </c>
      <c r="H19" s="32" t="str">
        <f>IF('Skill Workbook'!H94="","-",'Skill Workbook'!AK94)</f>
        <v>-</v>
      </c>
      <c r="I19" s="21" t="str">
        <f>'Skill Workbook'!F157&amp;IF('Skill Workbook'!G157="",""," ("&amp;'Skill Workbook'!G157&amp;")")&amp;IF('Skill Workbook'!H157="",""," ("&amp;'Skill Workbook'!H157&amp;")")</f>
        <v>Influence (Duping)</v>
      </c>
      <c r="J19" s="1">
        <f>'Skill Workbook'!AE157</f>
        <v>0</v>
      </c>
      <c r="K19" s="26" t="e">
        <f ca="1">'Skill Workbook'!AL157</f>
        <v>#N/A</v>
      </c>
      <c r="L19" s="32" t="str">
        <f>IF('Skill Workbook'!H157="","-",'Skill Workbook'!AK157)</f>
        <v>-</v>
      </c>
    </row>
    <row r="20" spans="1:12" ht="15.75" thickBot="1" x14ac:dyDescent="0.3">
      <c r="A20" s="21" t="str">
        <f>'Skill Workbook'!F16&amp;IF('Skill Workbook'!G16="",""," ("&amp;'Skill Workbook'!G16&amp;")")&amp;IF('Skill Workbook'!H16="",""," ("&amp;'Skill Workbook'!H16&amp;")")</f>
        <v>Perception</v>
      </c>
      <c r="B20" s="1">
        <f>'Skill Workbook'!AE16</f>
        <v>0</v>
      </c>
      <c r="C20" s="26" t="e">
        <f ca="1">'Skill Workbook'!AL16</f>
        <v>#N/A</v>
      </c>
      <c r="D20" s="32" t="str">
        <f>IF('Skill Workbook'!H16="","-",'Skill Workbook'!AK16)</f>
        <v>-</v>
      </c>
      <c r="E20" s="23" t="str">
        <f>'Skill Workbook'!F95&amp;IF('Skill Workbook'!G95="",""," ("&amp;'Skill Workbook'!G95&amp;")")&amp;IF('Skill Workbook'!H95="",""," ("&amp;'Skill Workbook'!H95&amp;")")</f>
        <v>Jumping</v>
      </c>
      <c r="F20" s="24">
        <f>'Skill Workbook'!AE95</f>
        <v>0</v>
      </c>
      <c r="G20" s="27" t="e">
        <f ca="1">'Skill Workbook'!AL95</f>
        <v>#N/A</v>
      </c>
      <c r="H20" s="34" t="str">
        <f>IF('Skill Workbook'!H95="","-",'Skill Workbook'!AK95)</f>
        <v>-</v>
      </c>
      <c r="I20" s="21" t="str">
        <f>'Skill Workbook'!F158&amp;IF('Skill Workbook'!G158="",""," ("&amp;'Skill Workbook'!G158&amp;")")&amp;IF('Skill Workbook'!H158="",""," ("&amp;'Skill Workbook'!H158&amp;")")</f>
        <v>Influence (Intimidation)</v>
      </c>
      <c r="J20" s="1">
        <f>'Skill Workbook'!AE158</f>
        <v>0</v>
      </c>
      <c r="K20" s="26" t="e">
        <f ca="1">'Skill Workbook'!AL158</f>
        <v>#N/A</v>
      </c>
      <c r="L20" s="32" t="str">
        <f>IF('Skill Workbook'!H158="","-",'Skill Workbook'!AK158)</f>
        <v>-</v>
      </c>
    </row>
    <row r="21" spans="1:12" ht="16.5" thickBot="1" x14ac:dyDescent="0.3">
      <c r="A21" s="23" t="str">
        <f>'Skill Workbook'!F17&amp;IF('Skill Workbook'!G17="",""," ("&amp;'Skill Workbook'!G17&amp;")")&amp;IF('Skill Workbook'!H17="",""," ("&amp;'Skill Workbook'!H17&amp;")")</f>
        <v>Tracking</v>
      </c>
      <c r="B21" s="24">
        <f>'Skill Workbook'!AE17</f>
        <v>0</v>
      </c>
      <c r="C21" s="27" t="e">
        <f ca="1">'Skill Workbook'!AL17</f>
        <v>#N/A</v>
      </c>
      <c r="D21" s="34" t="str">
        <f>IF('Skill Workbook'!H17="","-",'Skill Workbook'!AK17)</f>
        <v>-</v>
      </c>
      <c r="E21" s="575" t="s">
        <v>152</v>
      </c>
      <c r="F21" s="576"/>
      <c r="G21" s="576"/>
      <c r="H21" s="577"/>
      <c r="I21" s="21" t="str">
        <f>'Skill Workbook'!F159&amp;IF('Skill Workbook'!G159="",""," ("&amp;'Skill Workbook'!G159&amp;")")&amp;IF('Skill Workbook'!H159="",""," ("&amp;'Skill Workbook'!H159&amp;")")</f>
        <v>Leadership</v>
      </c>
      <c r="J21" s="1">
        <f>'Skill Workbook'!AE159</f>
        <v>0</v>
      </c>
      <c r="K21" s="26" t="e">
        <f ca="1">'Skill Workbook'!AL159</f>
        <v>#N/A</v>
      </c>
      <c r="L21" s="32" t="str">
        <f>IF('Skill Workbook'!H159="","-",'Skill Workbook'!AK159)</f>
        <v>-</v>
      </c>
    </row>
    <row r="22" spans="1:12" ht="15.75" x14ac:dyDescent="0.25">
      <c r="A22" s="575" t="s">
        <v>89</v>
      </c>
      <c r="B22" s="576"/>
      <c r="C22" s="576"/>
      <c r="D22" s="577"/>
      <c r="E22" s="21" t="str">
        <f>'Skill Workbook'!F96&amp;IF('Skill Workbook'!G96="",""," ("&amp;'Skill Workbook'!G96&amp;")")&amp;IF('Skill Workbook'!H96="",""," ("&amp;'Skill Workbook'!H96&amp;")")</f>
        <v>Creature Lore</v>
      </c>
      <c r="F22" s="1">
        <f>'Skill Workbook'!AE96</f>
        <v>0</v>
      </c>
      <c r="G22" s="26" t="e">
        <f ca="1">'Skill Workbook'!AL96</f>
        <v>#N/A</v>
      </c>
      <c r="H22" s="32" t="str">
        <f>IF('Skill Workbook'!H96="","-",'Skill Workbook'!AK96)</f>
        <v>-</v>
      </c>
      <c r="I22" s="21" t="str">
        <f>'Skill Workbook'!F160&amp;IF('Skill Workbook'!G160="",""," ("&amp;'Skill Workbook'!G160&amp;")")&amp;IF('Skill Workbook'!H160="",""," ("&amp;'Skill Workbook'!H160&amp;")")</f>
        <v>Social Awareness</v>
      </c>
      <c r="J22" s="1">
        <f>'Skill Workbook'!AE160</f>
        <v>0</v>
      </c>
      <c r="K22" s="26" t="e">
        <f ca="1">'Skill Workbook'!AL160</f>
        <v>#N/A</v>
      </c>
      <c r="L22" s="32" t="str">
        <f>IF('Skill Workbook'!H160="","-",'Skill Workbook'!AK160)</f>
        <v>-</v>
      </c>
    </row>
    <row r="23" spans="1:12" ht="15.75" thickBot="1" x14ac:dyDescent="0.3">
      <c r="A23" s="21" t="str">
        <f>'Skill Workbook'!F26&amp;IF('Skill Workbook'!G26="",""," ("&amp;'Skill Workbook'!G26&amp;")")&amp;IF('Skill Workbook'!H26="",""," ("&amp;'Skill Workbook'!H26&amp;")")</f>
        <v>Maneuvering in Armor</v>
      </c>
      <c r="B23" s="1">
        <f>'Skill Workbook'!AE26</f>
        <v>0</v>
      </c>
      <c r="C23" s="26">
        <f ca="1">'Skill Workbook'!AL26</f>
        <v>-25</v>
      </c>
      <c r="D23" s="32" t="str">
        <f>IF('Skill Workbook'!H26="","-",'Skill Workbook'!AK26)</f>
        <v>-</v>
      </c>
      <c r="E23" s="21" t="str">
        <f>'Skill Workbook'!F97&amp;IF('Skill Workbook'!G97="",""," ("&amp;'Skill Workbook'!G97&amp;")")&amp;IF('Skill Workbook'!H97="",""," ("&amp;'Skill Workbook'!H97&amp;")")</f>
        <v>Historic Lore</v>
      </c>
      <c r="F23" s="1">
        <f>'Skill Workbook'!AE97</f>
        <v>0</v>
      </c>
      <c r="G23" s="26" t="e">
        <f ca="1">'Skill Workbook'!AL97</f>
        <v>#N/A</v>
      </c>
      <c r="H23" s="32" t="str">
        <f>IF('Skill Workbook'!H97="","-",'Skill Workbook'!AK97)</f>
        <v>-</v>
      </c>
      <c r="I23" s="23" t="str">
        <f>'Skill Workbook'!F161&amp;IF('Skill Workbook'!G161="",""," ("&amp;'Skill Workbook'!G161&amp;")")&amp;IF('Skill Workbook'!H161="",""," ("&amp;'Skill Workbook'!H161&amp;")")</f>
        <v>Trading</v>
      </c>
      <c r="J23" s="24">
        <f>'Skill Workbook'!AE161</f>
        <v>0</v>
      </c>
      <c r="K23" s="27" t="e">
        <f ca="1">'Skill Workbook'!AL161</f>
        <v>#N/A</v>
      </c>
      <c r="L23" s="34" t="str">
        <f>IF('Skill Workbook'!H161="","-",'Skill Workbook'!AK161)</f>
        <v>-</v>
      </c>
    </row>
    <row r="24" spans="1:12" ht="15.75" x14ac:dyDescent="0.25">
      <c r="A24" s="21" t="str">
        <f>'Skill Workbook'!F27&amp;IF('Skill Workbook'!G27="",""," ("&amp;'Skill Workbook'!G27&amp;")")&amp;IF('Skill Workbook'!H27="",""," ("&amp;'Skill Workbook'!H27&amp;")")</f>
        <v>Mounted Combat</v>
      </c>
      <c r="B24" s="1">
        <f>'Skill Workbook'!AE27</f>
        <v>0</v>
      </c>
      <c r="C24" s="26">
        <f ca="1">'Skill Workbook'!AL27</f>
        <v>-25</v>
      </c>
      <c r="D24" s="32" t="str">
        <f>IF('Skill Workbook'!H27="","-",'Skill Workbook'!AK27)</f>
        <v>-</v>
      </c>
      <c r="E24" s="21" t="str">
        <f>'Skill Workbook'!F98&amp;IF('Skill Workbook'!G98="",""," ("&amp;'Skill Workbook'!G98&amp;")")&amp;IF('Skill Workbook'!H98="",""," ("&amp;'Skill Workbook'!H98&amp;")")</f>
        <v>Materials Lore</v>
      </c>
      <c r="F24" s="1">
        <f>'Skill Workbook'!AE98</f>
        <v>0</v>
      </c>
      <c r="G24" s="26" t="e">
        <f ca="1">'Skill Workbook'!AL98</f>
        <v>#N/A</v>
      </c>
      <c r="H24" s="32" t="str">
        <f>IF('Skill Workbook'!H98="","-",'Skill Workbook'!AK98)</f>
        <v>-</v>
      </c>
      <c r="I24" s="575" t="s">
        <v>212</v>
      </c>
      <c r="J24" s="576"/>
      <c r="K24" s="576"/>
      <c r="L24" s="577"/>
    </row>
    <row r="25" spans="1:12" x14ac:dyDescent="0.25">
      <c r="A25" s="21" t="str">
        <f>'Skill Workbook'!F28&amp;IF('Skill Workbook'!G28="",""," ("&amp;'Skill Workbook'!G28&amp;")")&amp;IF('Skill Workbook'!H28="",""," ("&amp;'Skill Workbook'!H28&amp;")")</f>
        <v>Protect</v>
      </c>
      <c r="B25" s="1">
        <f>'Skill Workbook'!AE28</f>
        <v>0</v>
      </c>
      <c r="C25" s="26">
        <f ca="1">'Skill Workbook'!AL28</f>
        <v>-25</v>
      </c>
      <c r="D25" s="32" t="str">
        <f>IF('Skill Workbook'!H28="","-",'Skill Workbook'!AK28)</f>
        <v>-</v>
      </c>
      <c r="E25" s="21" t="str">
        <f>'Skill Workbook'!F99&amp;IF('Skill Workbook'!G99="",""," ("&amp;'Skill Workbook'!G99&amp;")")&amp;IF('Skill Workbook'!H99="",""," ("&amp;'Skill Workbook'!H99&amp;")")</f>
        <v>Racial Lore (Society 1)</v>
      </c>
      <c r="F25" s="1">
        <f>'Skill Workbook'!AE99</f>
        <v>0</v>
      </c>
      <c r="G25" s="26" t="e">
        <f ca="1">'Skill Workbook'!AL99</f>
        <v>#N/A</v>
      </c>
      <c r="H25" s="32" t="str">
        <f>IF('Skill Workbook'!H99="","-",'Skill Workbook'!AK99)</f>
        <v>-</v>
      </c>
      <c r="I25" s="21" t="str">
        <f>'Skill Workbook'!F162&amp;IF('Skill Workbook'!G162="",""," ("&amp;'Skill Workbook'!G162&amp;")")&amp;IF('Skill Workbook'!H162="",""," ("&amp;'Skill Workbook'!H162&amp;")")</f>
        <v>Ambush (Melee)</v>
      </c>
      <c r="J25" s="1">
        <f>'Skill Workbook'!AE162</f>
        <v>0</v>
      </c>
      <c r="K25" s="26" t="e">
        <f ca="1">'Skill Workbook'!AL162</f>
        <v>#N/A</v>
      </c>
      <c r="L25" s="32" t="str">
        <f>IF('Skill Workbook'!H162="","-",'Skill Workbook'!AK162)</f>
        <v>-</v>
      </c>
    </row>
    <row r="26" spans="1:12" x14ac:dyDescent="0.25">
      <c r="A26" s="21" t="str">
        <f>'Skill Workbook'!F29&amp;IF('Skill Workbook'!G29="",""," ("&amp;'Skill Workbook'!G29&amp;")")&amp;IF('Skill Workbook'!H29="",""," ("&amp;'Skill Workbook'!H29&amp;")")</f>
        <v>Restricted Quarters</v>
      </c>
      <c r="B26" s="1">
        <f>'Skill Workbook'!AE29</f>
        <v>0</v>
      </c>
      <c r="C26" s="26">
        <f ca="1">'Skill Workbook'!AL29</f>
        <v>-25</v>
      </c>
      <c r="D26" s="32" t="str">
        <f>IF('Skill Workbook'!H29="","-",'Skill Workbook'!AK29)</f>
        <v>-</v>
      </c>
      <c r="E26" s="21" t="str">
        <f>'Skill Workbook'!F100&amp;IF('Skill Workbook'!G100="",""," ("&amp;'Skill Workbook'!G100&amp;")")&amp;IF('Skill Workbook'!H100="",""," ("&amp;'Skill Workbook'!H100&amp;")")</f>
        <v>Racial Lore (Society 2)</v>
      </c>
      <c r="F26" s="1">
        <f>'Skill Workbook'!AE100</f>
        <v>0</v>
      </c>
      <c r="G26" s="26" t="e">
        <f ca="1">'Skill Workbook'!AL100</f>
        <v>#N/A</v>
      </c>
      <c r="H26" s="32" t="str">
        <f>IF('Skill Workbook'!H100="","-",'Skill Workbook'!AK100)</f>
        <v>-</v>
      </c>
      <c r="I26" s="21" t="str">
        <f>'Skill Workbook'!F163&amp;IF('Skill Workbook'!G163="",""," ("&amp;'Skill Workbook'!G163&amp;")")&amp;IF('Skill Workbook'!H163="",""," ("&amp;'Skill Workbook'!H163&amp;")")</f>
        <v>Ambush (Ranged)</v>
      </c>
      <c r="J26" s="1">
        <f>'Skill Workbook'!AE163</f>
        <v>0</v>
      </c>
      <c r="K26" s="26" t="e">
        <f ca="1">'Skill Workbook'!AL163</f>
        <v>#N/A</v>
      </c>
      <c r="L26" s="32" t="str">
        <f>IF('Skill Workbook'!H163="","-",'Skill Workbook'!AK163)</f>
        <v>-</v>
      </c>
    </row>
    <row r="27" spans="1:12" ht="15.75" thickBot="1" x14ac:dyDescent="0.3">
      <c r="A27" s="23" t="str">
        <f>'Skill Workbook'!F30&amp;IF('Skill Workbook'!G30="",""," ("&amp;'Skill Workbook'!G30&amp;")")&amp;IF('Skill Workbook'!H30="",""," ("&amp;'Skill Workbook'!H30&amp;")")</f>
        <v>Subduing</v>
      </c>
      <c r="B27" s="24">
        <f>'Skill Workbook'!AE30</f>
        <v>0</v>
      </c>
      <c r="C27" s="27">
        <f ca="1">'Skill Workbook'!AL30</f>
        <v>-25</v>
      </c>
      <c r="D27" s="34" t="str">
        <f>IF('Skill Workbook'!H30="","-",'Skill Workbook'!AK30)</f>
        <v>-</v>
      </c>
      <c r="E27" s="21" t="str">
        <f>'Skill Workbook'!F101&amp;IF('Skill Workbook'!G101="",""," ("&amp;'Skill Workbook'!G101&amp;")")&amp;IF('Skill Workbook'!H101="",""," ("&amp;'Skill Workbook'!H101&amp;")")</f>
        <v>Racial Lore (Society 3)</v>
      </c>
      <c r="F27" s="1">
        <f>'Skill Workbook'!AE101</f>
        <v>0</v>
      </c>
      <c r="G27" s="26" t="e">
        <f ca="1">'Skill Workbook'!AL101</f>
        <v>#N/A</v>
      </c>
      <c r="H27" s="32" t="str">
        <f>IF('Skill Workbook'!H101="","-",'Skill Workbook'!AK101)</f>
        <v>-</v>
      </c>
      <c r="I27" s="21" t="str">
        <f>'Skill Workbook'!F164&amp;IF('Skill Workbook'!G164="",""," ("&amp;'Skill Workbook'!G164&amp;")")&amp;IF('Skill Workbook'!H164="",""," ("&amp;'Skill Workbook'!H164&amp;")")</f>
        <v>Ambush (Elemental Bolts)</v>
      </c>
      <c r="J27" s="1">
        <f>'Skill Workbook'!AE164</f>
        <v>0</v>
      </c>
      <c r="K27" s="26" t="e">
        <f ca="1">'Skill Workbook'!AL164</f>
        <v>#N/A</v>
      </c>
      <c r="L27" s="32" t="str">
        <f>IF('Skill Workbook'!H164="","-",'Skill Workbook'!AK164)</f>
        <v>-</v>
      </c>
    </row>
    <row r="28" spans="1:12" ht="15.75" x14ac:dyDescent="0.25">
      <c r="A28" s="575" t="s">
        <v>95</v>
      </c>
      <c r="B28" s="576"/>
      <c r="C28" s="576"/>
      <c r="D28" s="577"/>
      <c r="E28" s="21" t="str">
        <f>'Skill Workbook'!F102&amp;IF('Skill Workbook'!G102="",""," ("&amp;'Skill Workbook'!G102&amp;")")&amp;IF('Skill Workbook'!H102="",""," ("&amp;'Skill Workbook'!H102&amp;")")</f>
        <v>Region Lore (Home)</v>
      </c>
      <c r="F28" s="1">
        <f>'Skill Workbook'!AE102</f>
        <v>0</v>
      </c>
      <c r="G28" s="26" t="e">
        <f ca="1">'Skill Workbook'!AL102</f>
        <v>#N/A</v>
      </c>
      <c r="H28" s="32" t="str">
        <f>IF('Skill Workbook'!H102="","-",'Skill Workbook'!AK102)</f>
        <v>-</v>
      </c>
      <c r="I28" s="21" t="str">
        <f>'Skill Workbook'!F165&amp;IF('Skill Workbook'!G165="",""," ("&amp;'Skill Workbook'!G165&amp;")")&amp;IF('Skill Workbook'!H165="",""," ("&amp;'Skill Workbook'!H165&amp;")")</f>
        <v>Ambush (Illusionary Attacks)</v>
      </c>
      <c r="J28" s="1">
        <f>'Skill Workbook'!AE165</f>
        <v>0</v>
      </c>
      <c r="K28" s="26" t="e">
        <f ca="1">'Skill Workbook'!AL165</f>
        <v>#N/A</v>
      </c>
      <c r="L28" s="32" t="str">
        <f>IF('Skill Workbook'!H165="","-",'Skill Workbook'!AK165)</f>
        <v>-</v>
      </c>
    </row>
    <row r="29" spans="1:12" x14ac:dyDescent="0.25">
      <c r="A29" s="21" t="str">
        <f>'Skill Workbook'!F31&amp;IF('Skill Workbook'!G31="",""," ("&amp;'Skill Workbook'!G31&amp;")")&amp;IF('Skill Workbook'!H31="",""," ("&amp;'Skill Workbook'!H31&amp;")")</f>
        <v>Adrenal Defense</v>
      </c>
      <c r="B29" s="1">
        <f>'Skill Workbook'!AE31</f>
        <v>0</v>
      </c>
      <c r="C29" s="26" t="e">
        <f ca="1">'Skill Workbook'!AL31</f>
        <v>#N/A</v>
      </c>
      <c r="D29" s="32" t="str">
        <f>IF('Skill Workbook'!H31="","-",'Skill Workbook'!AK31)</f>
        <v>-</v>
      </c>
      <c r="E29" s="21" t="str">
        <f>'Skill Workbook'!F103&amp;IF('Skill Workbook'!G103="",""," ("&amp;'Skill Workbook'!G103&amp;")")&amp;IF('Skill Workbook'!H103="",""," ("&amp;'Skill Workbook'!H103&amp;")")</f>
        <v>Region Lore (Neighbor Region)</v>
      </c>
      <c r="F29" s="1">
        <f>'Skill Workbook'!AE103</f>
        <v>0</v>
      </c>
      <c r="G29" s="26" t="e">
        <f ca="1">'Skill Workbook'!AL103</f>
        <v>#N/A</v>
      </c>
      <c r="H29" s="32" t="str">
        <f>IF('Skill Workbook'!H103="","-",'Skill Workbook'!AK103)</f>
        <v>-</v>
      </c>
      <c r="I29" s="21" t="str">
        <f>'Skill Workbook'!F166&amp;IF('Skill Workbook'!G166="",""," ("&amp;'Skill Workbook'!G166&amp;")")&amp;IF('Skill Workbook'!H166="",""," ("&amp;'Skill Workbook'!H166&amp;")")</f>
        <v>Ambush (Hurling)</v>
      </c>
      <c r="J29" s="1">
        <f>'Skill Workbook'!AE166</f>
        <v>0</v>
      </c>
      <c r="K29" s="26" t="e">
        <f ca="1">'Skill Workbook'!AL166</f>
        <v>#N/A</v>
      </c>
      <c r="L29" s="32" t="str">
        <f>IF('Skill Workbook'!H166="","-",'Skill Workbook'!AK166)</f>
        <v>-</v>
      </c>
    </row>
    <row r="30" spans="1:12" x14ac:dyDescent="0.25">
      <c r="A30" s="21" t="str">
        <f>'Skill Workbook'!F32&amp;IF('Skill Workbook'!G32="",""," ("&amp;'Skill Workbook'!G32&amp;")")&amp;IF('Skill Workbook'!H32="",""," ("&amp;'Skill Workbook'!H32&amp;")")</f>
        <v>Adrenal Focus</v>
      </c>
      <c r="B30" s="1">
        <f>'Skill Workbook'!AE32</f>
        <v>0</v>
      </c>
      <c r="C30" s="26" t="e">
        <f ca="1">'Skill Workbook'!AL32</f>
        <v>#N/A</v>
      </c>
      <c r="D30" s="32" t="str">
        <f>IF('Skill Workbook'!H32="","-",'Skill Workbook'!AK32)</f>
        <v>-</v>
      </c>
      <c r="E30" s="21" t="str">
        <f>'Skill Workbook'!F104&amp;IF('Skill Workbook'!G104="",""," ("&amp;'Skill Workbook'!G104&amp;")")&amp;IF('Skill Workbook'!H104="",""," ("&amp;'Skill Workbook'!H104&amp;")")</f>
        <v>Region Lore</v>
      </c>
      <c r="F30" s="1">
        <f>'Skill Workbook'!AE104</f>
        <v>0</v>
      </c>
      <c r="G30" s="26" t="e">
        <f ca="1">'Skill Workbook'!AL104</f>
        <v>#N/A</v>
      </c>
      <c r="H30" s="32" t="str">
        <f>IF('Skill Workbook'!H104="","-",'Skill Workbook'!AK104)</f>
        <v>-</v>
      </c>
      <c r="I30" s="21" t="str">
        <f>'Skill Workbook'!F167&amp;IF('Skill Workbook'!G167="",""," ("&amp;'Skill Workbook'!G167&amp;")")&amp;IF('Skill Workbook'!H167="",""," ("&amp;'Skill Workbook'!H167&amp;")")</f>
        <v>Concealment</v>
      </c>
      <c r="J30" s="1">
        <f>'Skill Workbook'!AE167</f>
        <v>0</v>
      </c>
      <c r="K30" s="26" t="e">
        <f ca="1">'Skill Workbook'!AL167</f>
        <v>#N/A</v>
      </c>
      <c r="L30" s="32" t="str">
        <f>IF('Skill Workbook'!H167="","-",'Skill Workbook'!AK167)</f>
        <v>-</v>
      </c>
    </row>
    <row r="31" spans="1:12" x14ac:dyDescent="0.25">
      <c r="A31" s="21" t="str">
        <f>'Skill Workbook'!F33&amp;IF('Skill Workbook'!G33="",""," ("&amp;'Skill Workbook'!G33&amp;")")&amp;IF('Skill Workbook'!H33="",""," ("&amp;'Skill Workbook'!H33&amp;")")</f>
        <v>Adrenal Speed</v>
      </c>
      <c r="B31" s="1">
        <f>'Skill Workbook'!AE33</f>
        <v>0</v>
      </c>
      <c r="C31" s="26" t="e">
        <f ca="1">'Skill Workbook'!AL33</f>
        <v>#N/A</v>
      </c>
      <c r="D31" s="32" t="str">
        <f>IF('Skill Workbook'!H33="","-",'Skill Workbook'!AK33)</f>
        <v>-</v>
      </c>
      <c r="E31" s="21" t="str">
        <f>'Skill Workbook'!F105&amp;IF('Skill Workbook'!G105="",""," ("&amp;'Skill Workbook'!G105&amp;")")&amp;IF('Skill Workbook'!H105="",""," ("&amp;'Skill Workbook'!H105&amp;")")</f>
        <v>Religion/Philosophy</v>
      </c>
      <c r="F31" s="1">
        <f>'Skill Workbook'!AE105</f>
        <v>0</v>
      </c>
      <c r="G31" s="26" t="e">
        <f ca="1">'Skill Workbook'!AL105</f>
        <v>#N/A</v>
      </c>
      <c r="H31" s="32" t="str">
        <f>IF('Skill Workbook'!H105="","-",'Skill Workbook'!AK105)</f>
        <v>-</v>
      </c>
      <c r="I31" s="21" t="str">
        <f>'Skill Workbook'!F168&amp;IF('Skill Workbook'!G168="",""," ("&amp;'Skill Workbook'!G168&amp;")")&amp;IF('Skill Workbook'!H168="",""," ("&amp;'Skill Workbook'!H168&amp;")")</f>
        <v>Stalking</v>
      </c>
      <c r="J31" s="1">
        <f>'Skill Workbook'!AE168</f>
        <v>0</v>
      </c>
      <c r="K31" s="26" t="e">
        <f ca="1">'Skill Workbook'!AL168</f>
        <v>#N/A</v>
      </c>
      <c r="L31" s="32" t="str">
        <f>IF('Skill Workbook'!H168="","-",'Skill Workbook'!AK168)</f>
        <v>-</v>
      </c>
    </row>
    <row r="32" spans="1:12" ht="15.75" thickBot="1" x14ac:dyDescent="0.3">
      <c r="A32" s="23" t="str">
        <f>'Skill Workbook'!F34&amp;IF('Skill Workbook'!G34="",""," ("&amp;'Skill Workbook'!G34&amp;")")&amp;IF('Skill Workbook'!H34="",""," ("&amp;'Skill Workbook'!H34&amp;")")</f>
        <v>Adrenal Strength</v>
      </c>
      <c r="B32" s="24">
        <f>'Skill Workbook'!AE34</f>
        <v>0</v>
      </c>
      <c r="C32" s="27" t="e">
        <f ca="1">'Skill Workbook'!AL34</f>
        <v>#N/A</v>
      </c>
      <c r="D32" s="34" t="str">
        <f>IF('Skill Workbook'!H34="","-",'Skill Workbook'!AK34)</f>
        <v>-</v>
      </c>
      <c r="E32" s="21" t="str">
        <f>'Skill Workbook'!F106&amp;IF('Skill Workbook'!G106="",""," ("&amp;'Skill Workbook'!G106&amp;")")&amp;IF('Skill Workbook'!H106="",""," ("&amp;'Skill Workbook'!H106&amp;")")</f>
        <v>Spell Lore (Spell List 1)</v>
      </c>
      <c r="F32" s="1">
        <f>'Skill Workbook'!AE106</f>
        <v>0</v>
      </c>
      <c r="G32" s="26" t="e">
        <f ca="1">'Skill Workbook'!AL106</f>
        <v>#N/A</v>
      </c>
      <c r="H32" s="32" t="str">
        <f>IF('Skill Workbook'!H106="","-",'Skill Workbook'!AK106)</f>
        <v>-</v>
      </c>
      <c r="I32" s="23" t="str">
        <f>'Skill Workbook'!F169&amp;IF('Skill Workbook'!G169="",""," ("&amp;'Skill Workbook'!G169&amp;")")&amp;IF('Skill Workbook'!H169="",""," ("&amp;'Skill Workbook'!H169&amp;")")</f>
        <v>Trickery</v>
      </c>
      <c r="J32" s="24">
        <f>'Skill Workbook'!AE169</f>
        <v>0</v>
      </c>
      <c r="K32" s="27" t="e">
        <f ca="1">'Skill Workbook'!AL169</f>
        <v>#N/A</v>
      </c>
      <c r="L32" s="34" t="str">
        <f>IF('Skill Workbook'!H169="","-",'Skill Workbook'!AK169)</f>
        <v>-</v>
      </c>
    </row>
    <row r="33" spans="1:12" ht="15.75" x14ac:dyDescent="0.25">
      <c r="A33" s="575" t="s">
        <v>104</v>
      </c>
      <c r="B33" s="576"/>
      <c r="C33" s="576"/>
      <c r="D33" s="577"/>
      <c r="E33" s="21" t="str">
        <f>'Skill Workbook'!F107&amp;IF('Skill Workbook'!G107="",""," ("&amp;'Skill Workbook'!G107&amp;")")&amp;IF('Skill Workbook'!H107="",""," ("&amp;'Skill Workbook'!H107&amp;")")</f>
        <v>Spell Lore (Spell List 2)</v>
      </c>
      <c r="F33" s="1">
        <f>'Skill Workbook'!AE107</f>
        <v>0</v>
      </c>
      <c r="G33" s="26" t="e">
        <f ca="1">'Skill Workbook'!AL107</f>
        <v>#N/A</v>
      </c>
      <c r="H33" s="32" t="str">
        <f>IF('Skill Workbook'!H107="","-",'Skill Workbook'!AK107)</f>
        <v>-</v>
      </c>
      <c r="I33" s="575" t="s">
        <v>218</v>
      </c>
      <c r="J33" s="576"/>
      <c r="K33" s="576"/>
      <c r="L33" s="577"/>
    </row>
    <row r="34" spans="1:12" ht="15.75" thickBot="1" x14ac:dyDescent="0.3">
      <c r="A34" s="21" t="str">
        <f>'Skill Workbook'!F43&amp;IF('Skill Workbook'!G43="",""," ("&amp;'Skill Workbook'!G43&amp;")")&amp;IF('Skill Workbook'!H43="",""," ("&amp;'Skill Workbook'!H43&amp;")")</f>
        <v>Body Development</v>
      </c>
      <c r="B34" s="1">
        <f>'Skill Workbook'!AE43</f>
        <v>0</v>
      </c>
      <c r="C34" s="26" t="e">
        <f ca="1">'Skill Workbook'!AL43</f>
        <v>#N/A</v>
      </c>
      <c r="D34" s="32" t="str">
        <f>IF('Skill Workbook'!H43="","-",'Skill Workbook'!AK43)</f>
        <v>-</v>
      </c>
      <c r="E34" s="23" t="str">
        <f>'Skill Workbook'!F108&amp;IF('Skill Workbook'!G108="",""," ("&amp;'Skill Workbook'!G108&amp;")")&amp;IF('Skill Workbook'!H108="",""," ("&amp;'Skill Workbook'!H108&amp;")")</f>
        <v>Spell Lore (Spell List 3)</v>
      </c>
      <c r="F34" s="24">
        <f>'Skill Workbook'!AE108</f>
        <v>0</v>
      </c>
      <c r="G34" s="27" t="e">
        <f ca="1">'Skill Workbook'!AL108</f>
        <v>#N/A</v>
      </c>
      <c r="H34" s="34" t="str">
        <f>IF('Skill Workbook'!H108="","-",'Skill Workbook'!AK108)</f>
        <v>-</v>
      </c>
      <c r="I34" s="21" t="str">
        <f>'Skill Workbook'!F170&amp;IF('Skill Workbook'!G170="",""," ("&amp;'Skill Workbook'!G170&amp;")")&amp;IF('Skill Workbook'!H170="",""," ("&amp;'Skill Workbook'!H170&amp;")")</f>
        <v>Locks</v>
      </c>
      <c r="J34" s="1">
        <f>'Skill Workbook'!AE170</f>
        <v>0</v>
      </c>
      <c r="K34" s="26" t="e">
        <f ca="1">'Skill Workbook'!AL170</f>
        <v>#N/A</v>
      </c>
      <c r="L34" s="32" t="str">
        <f>IF('Skill Workbook'!H170="","-",'Skill Workbook'!AK170)</f>
        <v>-</v>
      </c>
    </row>
    <row r="35" spans="1:12" ht="15.75" x14ac:dyDescent="0.25">
      <c r="A35" s="21" t="str">
        <f>'Skill Workbook'!F44&amp;IF('Skill Workbook'!G44="",""," ("&amp;'Skill Workbook'!G44&amp;")")&amp;IF('Skill Workbook'!H44="",""," ("&amp;'Skill Workbook'!H44&amp;")")</f>
        <v>Fortitude</v>
      </c>
      <c r="B35" s="1">
        <f>'Skill Workbook'!AE44</f>
        <v>0</v>
      </c>
      <c r="C35" s="26" t="e">
        <f ca="1">'Skill Workbook'!AL44</f>
        <v>#N/A</v>
      </c>
      <c r="D35" s="32" t="str">
        <f>IF('Skill Workbook'!H44="","-",'Skill Workbook'!AK44)</f>
        <v>-</v>
      </c>
      <c r="E35" s="575" t="s">
        <v>789</v>
      </c>
      <c r="F35" s="576"/>
      <c r="G35" s="576"/>
      <c r="H35" s="577"/>
      <c r="I35" s="21" t="str">
        <f>'Skill Workbook'!F171&amp;IF('Skill Workbook'!G171="",""," ("&amp;'Skill Workbook'!G171&amp;")")&amp;IF('Skill Workbook'!H171="",""," ("&amp;'Skill Workbook'!H171&amp;")")</f>
        <v>Mechanics (Operation)</v>
      </c>
      <c r="J35" s="1">
        <f>'Skill Workbook'!AE171</f>
        <v>0</v>
      </c>
      <c r="K35" s="26" t="e">
        <f ca="1">'Skill Workbook'!AL171</f>
        <v>#N/A</v>
      </c>
      <c r="L35" s="32" t="str">
        <f>IF('Skill Workbook'!H171="","-",'Skill Workbook'!AK171)</f>
        <v>-</v>
      </c>
    </row>
    <row r="36" spans="1:12" ht="15.75" thickBot="1" x14ac:dyDescent="0.3">
      <c r="A36" s="23" t="str">
        <f>'Skill Workbook'!F45&amp;IF('Skill Workbook'!G45="",""," ("&amp;'Skill Workbook'!G45&amp;")")&amp;IF('Skill Workbook'!H45="",""," ("&amp;'Skill Workbook'!H45&amp;")")</f>
        <v>Weight Training</v>
      </c>
      <c r="B36" s="24">
        <f>'Skill Workbook'!AE45</f>
        <v>0</v>
      </c>
      <c r="C36" s="27" t="e">
        <f ca="1">'Skill Workbook'!AL45</f>
        <v>#N/A</v>
      </c>
      <c r="D36" s="34" t="str">
        <f>IF('Skill Workbook'!H45="","-",'Skill Workbook'!AK45)</f>
        <v>-</v>
      </c>
      <c r="E36" s="21" t="str">
        <f>'Skill Workbook'!F109&amp;IF('Skill Workbook'!G109="",""," ("&amp;'Skill Workbook'!G109&amp;")")&amp;IF('Skill Workbook'!H109="",""," ("&amp;'Skill Workbook'!H109&amp;")")</f>
        <v>Spoken (Language 1)</v>
      </c>
      <c r="F36" s="1">
        <f>'Skill Workbook'!AE109</f>
        <v>0</v>
      </c>
      <c r="G36" s="26" t="e">
        <f ca="1">'Skill Workbook'!AL109</f>
        <v>#N/A</v>
      </c>
      <c r="H36" s="32" t="str">
        <f>IF('Skill Workbook'!H109="","-",'Skill Workbook'!AK109)</f>
        <v>-</v>
      </c>
      <c r="I36" s="21" t="str">
        <f>'Skill Workbook'!F172&amp;IF('Skill Workbook'!G172="",""," ("&amp;'Skill Workbook'!G172&amp;")")&amp;IF('Skill Workbook'!H172="",""," ("&amp;'Skill Workbook'!H172&amp;")")</f>
        <v>Mechanics (Repair &amp; Construction)</v>
      </c>
      <c r="J36" s="1">
        <f>'Skill Workbook'!AE172</f>
        <v>0</v>
      </c>
      <c r="K36" s="26" t="e">
        <f ca="1">'Skill Workbook'!AL172</f>
        <v>#N/A</v>
      </c>
      <c r="L36" s="32" t="str">
        <f>IF('Skill Workbook'!H172="","-",'Skill Workbook'!AK172)</f>
        <v>-</v>
      </c>
    </row>
    <row r="37" spans="1:12" ht="16.5" thickBot="1" x14ac:dyDescent="0.3">
      <c r="A37" s="575" t="s">
        <v>109</v>
      </c>
      <c r="B37" s="576"/>
      <c r="C37" s="576"/>
      <c r="D37" s="577"/>
      <c r="E37" s="21" t="str">
        <f>'Skill Workbook'!F110&amp;IF('Skill Workbook'!G110="",""," ("&amp;'Skill Workbook'!G110&amp;")")&amp;IF('Skill Workbook'!H110="",""," ("&amp;'Skill Workbook'!H110&amp;")")</f>
        <v>Written</v>
      </c>
      <c r="F37" s="1">
        <f>'Skill Workbook'!AE110</f>
        <v>0</v>
      </c>
      <c r="G37" s="26" t="e">
        <f ca="1">'Skill Workbook'!AL110</f>
        <v>#N/A</v>
      </c>
      <c r="H37" s="32" t="str">
        <f>IF('Skill Workbook'!H110="","-",'Skill Workbook'!AK110)</f>
        <v>-</v>
      </c>
      <c r="I37" s="23" t="str">
        <f>'Skill Workbook'!F173&amp;IF('Skill Workbook'!G173="",""," ("&amp;'Skill Workbook'!G173&amp;")")&amp;IF('Skill Workbook'!H173="",""," ("&amp;'Skill Workbook'!H173&amp;")")</f>
        <v>Traps</v>
      </c>
      <c r="J37" s="24">
        <f>'Skill Workbook'!AE173</f>
        <v>0</v>
      </c>
      <c r="K37" s="27" t="e">
        <f ca="1">'Skill Workbook'!AL173</f>
        <v>#N/A</v>
      </c>
      <c r="L37" s="34" t="str">
        <f>IF('Skill Workbook'!H173="","-",'Skill Workbook'!AK173)</f>
        <v>-</v>
      </c>
    </row>
    <row r="38" spans="1:12" ht="15.75" x14ac:dyDescent="0.25">
      <c r="A38" s="21" t="str">
        <f>'Skill Workbook'!F54&amp;IF('Skill Workbook'!G54="",""," ("&amp;'Skill Workbook'!G54&amp;")")&amp;IF('Skill Workbook'!H54="",""," ("&amp;'Skill Workbook'!H54&amp;")")</f>
        <v>Blind Fighting</v>
      </c>
      <c r="B38" s="1">
        <f>'Skill Workbook'!AE54</f>
        <v>0</v>
      </c>
      <c r="C38" s="26">
        <f ca="1">'Skill Workbook'!AL54</f>
        <v>-25</v>
      </c>
      <c r="D38" s="32" t="str">
        <f>IF('Skill Workbook'!H54="","-",'Skill Workbook'!AK54)</f>
        <v>-</v>
      </c>
      <c r="E38" s="21" t="str">
        <f>'Skill Workbook'!F111&amp;IF('Skill Workbook'!G111="",""," ("&amp;'Skill Workbook'!G111&amp;")")&amp;IF('Skill Workbook'!H111="",""," ("&amp;'Skill Workbook'!H111&amp;")")</f>
        <v>Spoken (Language 2)</v>
      </c>
      <c r="F38" s="1">
        <f>'Skill Workbook'!AE111</f>
        <v>0</v>
      </c>
      <c r="G38" s="26" t="e">
        <f ca="1">'Skill Workbook'!AL111</f>
        <v>#N/A</v>
      </c>
      <c r="H38" s="32" t="str">
        <f>IF('Skill Workbook'!H111="","-",'Skill Workbook'!AK111)</f>
        <v>-</v>
      </c>
      <c r="I38" s="575" t="s">
        <v>224</v>
      </c>
      <c r="J38" s="576"/>
      <c r="K38" s="576"/>
      <c r="L38" s="577"/>
    </row>
    <row r="39" spans="1:12" x14ac:dyDescent="0.25">
      <c r="A39" s="21" t="str">
        <f>'Skill Workbook'!F55&amp;IF('Skill Workbook'!G55="",""," ("&amp;'Skill Workbook'!G55&amp;")")&amp;IF('Skill Workbook'!H55="",""," ("&amp;'Skill Workbook'!H55&amp;")")</f>
        <v>Disarm</v>
      </c>
      <c r="B39" s="1">
        <f>'Skill Workbook'!AE55</f>
        <v>0</v>
      </c>
      <c r="C39" s="26">
        <f ca="1">'Skill Workbook'!AL55</f>
        <v>-25</v>
      </c>
      <c r="D39" s="32" t="str">
        <f>IF('Skill Workbook'!H55="","-",'Skill Workbook'!AK55)</f>
        <v>-</v>
      </c>
      <c r="E39" s="21" t="str">
        <f>'Skill Workbook'!F112&amp;IF('Skill Workbook'!G112="",""," ("&amp;'Skill Workbook'!G112&amp;")")&amp;IF('Skill Workbook'!H112="",""," ("&amp;'Skill Workbook'!H112&amp;")")</f>
        <v>Written</v>
      </c>
      <c r="F39" s="1">
        <f>'Skill Workbook'!AE112</f>
        <v>0</v>
      </c>
      <c r="G39" s="26" t="e">
        <f ca="1">'Skill Workbook'!AL112</f>
        <v>#N/A</v>
      </c>
      <c r="H39" s="32" t="str">
        <f>IF('Skill Workbook'!H112="","-",'Skill Workbook'!AK112)</f>
        <v>-</v>
      </c>
      <c r="I39" s="21" t="str">
        <f>'Skill Workbook'!F174&amp;IF('Skill Workbook'!G174="",""," ("&amp;'Skill Workbook'!G174&amp;")")&amp;IF('Skill Workbook'!H174="",""," ("&amp;'Skill Workbook'!H174&amp;")")</f>
        <v>Administration</v>
      </c>
      <c r="J39" s="1">
        <f>'Skill Workbook'!AE174</f>
        <v>0</v>
      </c>
      <c r="K39" s="26" t="e">
        <f ca="1">'Skill Workbook'!AL174</f>
        <v>#N/A</v>
      </c>
      <c r="L39" s="32" t="str">
        <f>IF('Skill Workbook'!H174="","-",'Skill Workbook'!AK174)</f>
        <v>-</v>
      </c>
    </row>
    <row r="40" spans="1:12" x14ac:dyDescent="0.25">
      <c r="A40" s="21" t="str">
        <f>'Skill Workbook'!F56&amp;IF('Skill Workbook'!G56="",""," ("&amp;'Skill Workbook'!G56&amp;")")&amp;IF('Skill Workbook'!H56="",""," ("&amp;'Skill Workbook'!H56&amp;")")</f>
        <v>Footwork</v>
      </c>
      <c r="B40" s="1">
        <f>'Skill Workbook'!AE56</f>
        <v>0</v>
      </c>
      <c r="C40" s="26">
        <f ca="1">'Skill Workbook'!AL56</f>
        <v>-25</v>
      </c>
      <c r="D40" s="32" t="str">
        <f>IF('Skill Workbook'!H56="","-",'Skill Workbook'!AK56)</f>
        <v>-</v>
      </c>
      <c r="E40" s="21" t="str">
        <f>'Skill Workbook'!F113&amp;IF('Skill Workbook'!G113="",""," ("&amp;'Skill Workbook'!G113&amp;")")&amp;IF('Skill Workbook'!H113="",""," ("&amp;'Skill Workbook'!H113&amp;")")</f>
        <v>Spoken (Language 3)</v>
      </c>
      <c r="F40" s="1">
        <f>'Skill Workbook'!AE113</f>
        <v>0</v>
      </c>
      <c r="G40" s="26" t="e">
        <f ca="1">'Skill Workbook'!AL113</f>
        <v>#N/A</v>
      </c>
      <c r="H40" s="32" t="str">
        <f>IF('Skill Workbook'!H113="","-",'Skill Workbook'!AK113)</f>
        <v>-</v>
      </c>
      <c r="I40" s="21" t="str">
        <f>'Skill Workbook'!F175&amp;IF('Skill Workbook'!G175="",""," ("&amp;'Skill Workbook'!G175&amp;")")&amp;IF('Skill Workbook'!H175="",""," ("&amp;'Skill Workbook'!H175&amp;")")</f>
        <v>Service</v>
      </c>
      <c r="J40" s="1">
        <f>'Skill Workbook'!AE175</f>
        <v>0</v>
      </c>
      <c r="K40" s="26" t="e">
        <f ca="1">'Skill Workbook'!AL175</f>
        <v>#N/A</v>
      </c>
      <c r="L40" s="32" t="str">
        <f>IF('Skill Workbook'!H175="","-",'Skill Workbook'!AK175)</f>
        <v>-</v>
      </c>
    </row>
    <row r="41" spans="1:12" ht="15.75" thickBot="1" x14ac:dyDescent="0.3">
      <c r="A41" s="21" t="str">
        <f>'Skill Workbook'!F57&amp;IF('Skill Workbook'!G57="",""," ("&amp;'Skill Workbook'!G57&amp;")")&amp;IF('Skill Workbook'!H57="",""," ("&amp;'Skill Workbook'!H57&amp;")")</f>
        <v>Multiple Attacks</v>
      </c>
      <c r="B41" s="1">
        <f>'Skill Workbook'!AE57</f>
        <v>0</v>
      </c>
      <c r="C41" s="26">
        <f ca="1">'Skill Workbook'!AL57</f>
        <v>-25</v>
      </c>
      <c r="D41" s="32" t="str">
        <f>IF('Skill Workbook'!H57="","-",'Skill Workbook'!AK57)</f>
        <v>-</v>
      </c>
      <c r="E41" s="21" t="str">
        <f>'Skill Workbook'!F114&amp;IF('Skill Workbook'!G114="",""," ("&amp;'Skill Workbook'!G114&amp;")")&amp;IF('Skill Workbook'!H114="",""," ("&amp;'Skill Workbook'!H114&amp;")")</f>
        <v>Written</v>
      </c>
      <c r="F41" s="1">
        <f>'Skill Workbook'!AE114</f>
        <v>0</v>
      </c>
      <c r="G41" s="26" t="e">
        <f ca="1">'Skill Workbook'!AL114</f>
        <v>#N/A</v>
      </c>
      <c r="H41" s="32" t="str">
        <f>IF('Skill Workbook'!H114="","-",'Skill Workbook'!AK114)</f>
        <v>-</v>
      </c>
      <c r="I41" s="23" t="str">
        <f>'Skill Workbook'!F176&amp;IF('Skill Workbook'!G176="",""," ("&amp;'Skill Workbook'!G176&amp;")")&amp;IF('Skill Workbook'!H176="",""," ("&amp;'Skill Workbook'!H176&amp;")")</f>
        <v>Trade</v>
      </c>
      <c r="J41" s="24">
        <f>'Skill Workbook'!AE176</f>
        <v>0</v>
      </c>
      <c r="K41" s="27" t="e">
        <f ca="1">'Skill Workbook'!AL176</f>
        <v>#N/A</v>
      </c>
      <c r="L41" s="34" t="str">
        <f>IF('Skill Workbook'!H176="","-",'Skill Workbook'!AK176)</f>
        <v>-</v>
      </c>
    </row>
    <row r="42" spans="1:12" ht="16.5" thickBot="1" x14ac:dyDescent="0.3">
      <c r="A42" s="23" t="str">
        <f>'Skill Workbook'!F58&amp;IF('Skill Workbook'!G58="",""," ("&amp;'Skill Workbook'!G58&amp;")")&amp;IF('Skill Workbook'!H58="",""," ("&amp;'Skill Workbook'!H58&amp;")")</f>
        <v>Reverse Strike</v>
      </c>
      <c r="B42" s="24">
        <f>'Skill Workbook'!AE58</f>
        <v>0</v>
      </c>
      <c r="C42" s="27">
        <f ca="1">'Skill Workbook'!AL58</f>
        <v>-25</v>
      </c>
      <c r="D42" s="34" t="str">
        <f>IF('Skill Workbook'!H58="","-",'Skill Workbook'!AK58)</f>
        <v>-</v>
      </c>
      <c r="E42" s="21" t="str">
        <f>'Skill Workbook'!F115&amp;IF('Skill Workbook'!G115="",""," ("&amp;'Skill Workbook'!G115&amp;")")&amp;IF('Skill Workbook'!H115="",""," ("&amp;'Skill Workbook'!H115&amp;")")</f>
        <v>Spoken (Language 4)</v>
      </c>
      <c r="F42" s="1">
        <f>'Skill Workbook'!AE115</f>
        <v>0</v>
      </c>
      <c r="G42" s="26" t="e">
        <f ca="1">'Skill Workbook'!AL115</f>
        <v>#N/A</v>
      </c>
      <c r="H42" s="32" t="str">
        <f>IF('Skill Workbook'!H115="","-",'Skill Workbook'!AK115)</f>
        <v>-</v>
      </c>
      <c r="I42" s="575" t="s">
        <v>264</v>
      </c>
      <c r="J42" s="576"/>
      <c r="K42" s="576"/>
      <c r="L42" s="577"/>
    </row>
    <row r="43" spans="1:12" ht="15.75" x14ac:dyDescent="0.25">
      <c r="A43" s="575" t="s">
        <v>791</v>
      </c>
      <c r="B43" s="576"/>
      <c r="C43" s="576"/>
      <c r="D43" s="577"/>
      <c r="E43" s="21" t="str">
        <f>'Skill Workbook'!F116&amp;IF('Skill Workbook'!G116="",""," ("&amp;'Skill Workbook'!G116&amp;")")&amp;IF('Skill Workbook'!H116="",""," ("&amp;'Skill Workbook'!H116&amp;")")</f>
        <v>Written</v>
      </c>
      <c r="F43" s="1">
        <f>'Skill Workbook'!AE116</f>
        <v>0</v>
      </c>
      <c r="G43" s="26" t="e">
        <f ca="1">'Skill Workbook'!AL116</f>
        <v>#N/A</v>
      </c>
      <c r="H43" s="32" t="str">
        <f>IF('Skill Workbook'!H116="","-",'Skill Workbook'!AK116)</f>
        <v>-</v>
      </c>
      <c r="I43" s="21" t="str">
        <f>'Skill Workbook'!F177&amp;IF('Skill Workbook'!G177="",""," ("&amp;'Skill Workbook'!G177&amp;")")&amp;IF('Skill Workbook'!H177="",""," ("&amp;'Skill Workbook'!H177&amp;")")</f>
        <v>Base Spells</v>
      </c>
      <c r="J43" s="1">
        <f>'Skill Workbook'!AE177</f>
        <v>0</v>
      </c>
      <c r="K43" s="26" t="e">
        <f ca="1">'Skill Workbook'!AL177</f>
        <v>#N/A</v>
      </c>
      <c r="L43" s="32" t="str">
        <f>IF('Skill Workbook'!H177="","-",'Skill Workbook'!AK177)</f>
        <v>-</v>
      </c>
    </row>
    <row r="44" spans="1:12" x14ac:dyDescent="0.25">
      <c r="A44" s="21" t="str">
        <f>'Skill Workbook'!F59&amp;IF('Skill Workbook'!G59="",""," ("&amp;'Skill Workbook'!G59&amp;")")&amp;IF('Skill Workbook'!H59="",""," ("&amp;'Skill Workbook'!H59&amp;")")</f>
        <v>Melee Weapons (Blade)</v>
      </c>
      <c r="B44" s="1">
        <f>'Skill Workbook'!AE59</f>
        <v>0</v>
      </c>
      <c r="C44" s="26" t="e">
        <f ca="1">'Skill Workbook'!AL59</f>
        <v>#N/A</v>
      </c>
      <c r="D44" s="32" t="str">
        <f>IF('Skill Workbook'!H59="","-",'Skill Workbook'!AK59)</f>
        <v>-</v>
      </c>
      <c r="E44" s="21" t="str">
        <f>'Skill Workbook'!F117&amp;IF('Skill Workbook'!G117="",""," ("&amp;'Skill Workbook'!G117&amp;")")&amp;IF('Skill Workbook'!H117="",""," ("&amp;'Skill Workbook'!H117&amp;")")</f>
        <v>Spoken (Language 5)</v>
      </c>
      <c r="F44" s="1">
        <f>'Skill Workbook'!AE117</f>
        <v>0</v>
      </c>
      <c r="G44" s="26" t="e">
        <f ca="1">'Skill Workbook'!AL117</f>
        <v>#N/A</v>
      </c>
      <c r="H44" s="32" t="str">
        <f>IF('Skill Workbook'!H117="","-",'Skill Workbook'!AK117)</f>
        <v>-</v>
      </c>
      <c r="I44" s="21" t="str">
        <f>'Skill Workbook'!F178&amp;IF('Skill Workbook'!G178="",""," ("&amp;'Skill Workbook'!G178&amp;")")&amp;IF('Skill Workbook'!H178="",""," ("&amp;'Skill Workbook'!H178&amp;")")</f>
        <v>Base Spells</v>
      </c>
      <c r="J44" s="1">
        <f>'Skill Workbook'!AE178</f>
        <v>0</v>
      </c>
      <c r="K44" s="26" t="e">
        <f ca="1">'Skill Workbook'!AL178</f>
        <v>#N/A</v>
      </c>
      <c r="L44" s="32" t="str">
        <f>IF('Skill Workbook'!H178="","-",'Skill Workbook'!AK178)</f>
        <v>-</v>
      </c>
    </row>
    <row r="45" spans="1:12" x14ac:dyDescent="0.25">
      <c r="A45" s="21" t="str">
        <f>'Skill Workbook'!F60&amp;IF('Skill Workbook'!G60="",""," ("&amp;'Skill Workbook'!G60&amp;")")&amp;IF('Skill Workbook'!H60="",""," ("&amp;'Skill Workbook'!H60&amp;")")</f>
        <v>Melee Weapons (Chain)</v>
      </c>
      <c r="B45" s="1">
        <f>'Skill Workbook'!AE60</f>
        <v>0</v>
      </c>
      <c r="C45" s="26" t="e">
        <f ca="1">'Skill Workbook'!AL60</f>
        <v>#N/A</v>
      </c>
      <c r="D45" s="32" t="str">
        <f>IF('Skill Workbook'!H60="","-",'Skill Workbook'!AK60)</f>
        <v>-</v>
      </c>
      <c r="E45" s="21" t="str">
        <f>'Skill Workbook'!F118&amp;IF('Skill Workbook'!G118="",""," ("&amp;'Skill Workbook'!G118&amp;")")&amp;IF('Skill Workbook'!H118="",""," ("&amp;'Skill Workbook'!H118&amp;")")</f>
        <v>Written</v>
      </c>
      <c r="F45" s="1">
        <f>'Skill Workbook'!AE118</f>
        <v>0</v>
      </c>
      <c r="G45" s="26" t="e">
        <f ca="1">'Skill Workbook'!AL118</f>
        <v>#N/A</v>
      </c>
      <c r="H45" s="32" t="str">
        <f>IF('Skill Workbook'!H118="","-",'Skill Workbook'!AK118)</f>
        <v>-</v>
      </c>
      <c r="I45" s="21" t="str">
        <f>'Skill Workbook'!F179&amp;IF('Skill Workbook'!G179="",""," ("&amp;'Skill Workbook'!G179&amp;")")&amp;IF('Skill Workbook'!H179="",""," ("&amp;'Skill Workbook'!H179&amp;")")</f>
        <v>Base Spells</v>
      </c>
      <c r="J45" s="1">
        <f>'Skill Workbook'!AE179</f>
        <v>0</v>
      </c>
      <c r="K45" s="26" t="e">
        <f ca="1">'Skill Workbook'!AL179</f>
        <v>#N/A</v>
      </c>
      <c r="L45" s="32" t="str">
        <f>IF('Skill Workbook'!H179="","-",'Skill Workbook'!AK179)</f>
        <v>-</v>
      </c>
    </row>
    <row r="46" spans="1:12" x14ac:dyDescent="0.25">
      <c r="A46" s="21" t="str">
        <f>'Skill Workbook'!F61&amp;IF('Skill Workbook'!G61="",""," ("&amp;'Skill Workbook'!G61&amp;")")&amp;IF('Skill Workbook'!H61="",""," ("&amp;'Skill Workbook'!H61&amp;")")</f>
        <v>Melee Weapons (Hafted)</v>
      </c>
      <c r="B46" s="1">
        <f>'Skill Workbook'!AE61</f>
        <v>0</v>
      </c>
      <c r="C46" s="26" t="e">
        <f ca="1">'Skill Workbook'!AL61</f>
        <v>#N/A</v>
      </c>
      <c r="D46" s="32" t="str">
        <f>IF('Skill Workbook'!H61="","-",'Skill Workbook'!AK61)</f>
        <v>-</v>
      </c>
      <c r="E46" s="21" t="str">
        <f>'Skill Workbook'!F119&amp;IF('Skill Workbook'!G119="",""," ("&amp;'Skill Workbook'!G119&amp;")")&amp;IF('Skill Workbook'!H119="",""," ("&amp;'Skill Workbook'!H119&amp;")")</f>
        <v>Spoken</v>
      </c>
      <c r="F46" s="1">
        <f>'Skill Workbook'!AE119</f>
        <v>0</v>
      </c>
      <c r="G46" s="26" t="e">
        <f ca="1">'Skill Workbook'!AL119</f>
        <v>#N/A</v>
      </c>
      <c r="H46" s="32" t="str">
        <f>IF('Skill Workbook'!H119="","-",'Skill Workbook'!AK119)</f>
        <v>-</v>
      </c>
      <c r="I46" s="21" t="str">
        <f>'Skill Workbook'!F180&amp;IF('Skill Workbook'!G180="",""," ("&amp;'Skill Workbook'!G180&amp;")")&amp;IF('Skill Workbook'!H180="",""," ("&amp;'Skill Workbook'!H180&amp;")")</f>
        <v>Base Spells</v>
      </c>
      <c r="J46" s="1">
        <f>'Skill Workbook'!AE180</f>
        <v>0</v>
      </c>
      <c r="K46" s="26" t="e">
        <f ca="1">'Skill Workbook'!AL180</f>
        <v>#N/A</v>
      </c>
      <c r="L46" s="32" t="str">
        <f>IF('Skill Workbook'!H180="","-",'Skill Workbook'!AK180)</f>
        <v>-</v>
      </c>
    </row>
    <row r="47" spans="1:12" x14ac:dyDescent="0.25">
      <c r="A47" s="21" t="str">
        <f>'Skill Workbook'!F62&amp;IF('Skill Workbook'!G62="",""," ("&amp;'Skill Workbook'!G62&amp;")")&amp;IF('Skill Workbook'!H62="",""," ("&amp;'Skill Workbook'!H62&amp;")")</f>
        <v>Melee Weapons (Greater Blade)</v>
      </c>
      <c r="B47" s="1">
        <f>'Skill Workbook'!AE62</f>
        <v>0</v>
      </c>
      <c r="C47" s="26" t="e">
        <f ca="1">'Skill Workbook'!AL62</f>
        <v>#N/A</v>
      </c>
      <c r="D47" s="32" t="str">
        <f>IF('Skill Workbook'!H62="","-",'Skill Workbook'!AK62)</f>
        <v>-</v>
      </c>
      <c r="E47" s="21" t="str">
        <f>'Skill Workbook'!F120&amp;IF('Skill Workbook'!G120="",""," ("&amp;'Skill Workbook'!G120&amp;")")&amp;IF('Skill Workbook'!H120="",""," ("&amp;'Skill Workbook'!H120&amp;")")</f>
        <v>Written</v>
      </c>
      <c r="F47" s="1">
        <f>'Skill Workbook'!AE120</f>
        <v>0</v>
      </c>
      <c r="G47" s="26" t="e">
        <f ca="1">'Skill Workbook'!AL120</f>
        <v>#N/A</v>
      </c>
      <c r="H47" s="32" t="str">
        <f>IF('Skill Workbook'!H120="","-",'Skill Workbook'!AK120)</f>
        <v>-</v>
      </c>
      <c r="I47" s="21" t="str">
        <f>'Skill Workbook'!F181&amp;IF('Skill Workbook'!G181="",""," ("&amp;'Skill Workbook'!G181&amp;")")&amp;IF('Skill Workbook'!H181="",""," ("&amp;'Skill Workbook'!H181&amp;")")</f>
        <v>Base Spells</v>
      </c>
      <c r="J47" s="1">
        <f>'Skill Workbook'!AE181</f>
        <v>0</v>
      </c>
      <c r="K47" s="26" t="e">
        <f ca="1">'Skill Workbook'!AL181</f>
        <v>#N/A</v>
      </c>
      <c r="L47" s="32" t="str">
        <f>IF('Skill Workbook'!H181="","-",'Skill Workbook'!AK181)</f>
        <v>-</v>
      </c>
    </row>
    <row r="48" spans="1:12" ht="15.75" thickBot="1" x14ac:dyDescent="0.3">
      <c r="A48" s="21" t="str">
        <f>'Skill Workbook'!F63&amp;IF('Skill Workbook'!G63="",""," ("&amp;'Skill Workbook'!G63&amp;")")&amp;IF('Skill Workbook'!H63="",""," ("&amp;'Skill Workbook'!H63&amp;")")</f>
        <v>Melee Weapons (Greater Chain)</v>
      </c>
      <c r="B48" s="1">
        <f>'Skill Workbook'!AE63</f>
        <v>0</v>
      </c>
      <c r="C48" s="26" t="e">
        <f ca="1">'Skill Workbook'!AL63</f>
        <v>#N/A</v>
      </c>
      <c r="D48" s="32" t="str">
        <f>IF('Skill Workbook'!H63="","-",'Skill Workbook'!AK63)</f>
        <v>-</v>
      </c>
      <c r="E48" s="21" t="str">
        <f>'Skill Workbook'!F121&amp;IF('Skill Workbook'!G121="",""," ("&amp;'Skill Workbook'!G121&amp;")")&amp;IF('Skill Workbook'!H121="",""," ("&amp;'Skill Workbook'!H121&amp;")")</f>
        <v>Spoken</v>
      </c>
      <c r="F48" s="1">
        <f>'Skill Workbook'!AE121</f>
        <v>0</v>
      </c>
      <c r="G48" s="26" t="e">
        <f ca="1">'Skill Workbook'!AL121</f>
        <v>#N/A</v>
      </c>
      <c r="H48" s="32" t="str">
        <f>IF('Skill Workbook'!H121="","-",'Skill Workbook'!AK121)</f>
        <v>-</v>
      </c>
      <c r="I48" s="23" t="str">
        <f>'Skill Workbook'!F182&amp;IF('Skill Workbook'!G182="",""," ("&amp;'Skill Workbook'!G182&amp;")")&amp;IF('Skill Workbook'!H182="",""," ("&amp;'Skill Workbook'!H182&amp;")")</f>
        <v>Base Spells</v>
      </c>
      <c r="J48" s="24">
        <f>'Skill Workbook'!AE182</f>
        <v>0</v>
      </c>
      <c r="K48" s="27" t="e">
        <f ca="1">'Skill Workbook'!AL182</f>
        <v>#N/A</v>
      </c>
      <c r="L48" s="34" t="str">
        <f>IF('Skill Workbook'!H182="","-",'Skill Workbook'!AK182)</f>
        <v>-</v>
      </c>
    </row>
    <row r="49" spans="1:12" ht="15.75" x14ac:dyDescent="0.25">
      <c r="A49" s="21" t="str">
        <f>'Skill Workbook'!F64&amp;IF('Skill Workbook'!G64="",""," ("&amp;'Skill Workbook'!G64&amp;")")&amp;IF('Skill Workbook'!H64="",""," ("&amp;'Skill Workbook'!H64&amp;")")</f>
        <v>Melee Weapons (Greater Hafted)</v>
      </c>
      <c r="B49" s="1">
        <f>'Skill Workbook'!AE64</f>
        <v>0</v>
      </c>
      <c r="C49" s="26" t="e">
        <f ca="1">'Skill Workbook'!AL64</f>
        <v>#N/A</v>
      </c>
      <c r="D49" s="32" t="str">
        <f>IF('Skill Workbook'!H64="","-",'Skill Workbook'!AK64)</f>
        <v>-</v>
      </c>
      <c r="E49" s="21" t="str">
        <f>'Skill Workbook'!F122&amp;IF('Skill Workbook'!G122="",""," ("&amp;'Skill Workbook'!G122&amp;")")&amp;IF('Skill Workbook'!H122="",""," ("&amp;'Skill Workbook'!H122&amp;")")</f>
        <v>Written</v>
      </c>
      <c r="F49" s="1">
        <f>'Skill Workbook'!AE122</f>
        <v>0</v>
      </c>
      <c r="G49" s="26" t="e">
        <f ca="1">'Skill Workbook'!AL122</f>
        <v>#N/A</v>
      </c>
      <c r="H49" s="32" t="str">
        <f>IF('Skill Workbook'!H122="","-",'Skill Workbook'!AK122)</f>
        <v>-</v>
      </c>
      <c r="I49" s="575" t="s">
        <v>265</v>
      </c>
      <c r="J49" s="576"/>
      <c r="K49" s="576"/>
      <c r="L49" s="577"/>
    </row>
    <row r="50" spans="1:12" x14ac:dyDescent="0.25">
      <c r="A50" s="21" t="str">
        <f>'Skill Workbook'!F65&amp;IF('Skill Workbook'!G65="",""," ("&amp;'Skill Workbook'!G65&amp;")")&amp;IF('Skill Workbook'!H65="",""," ("&amp;'Skill Workbook'!H65&amp;")")</f>
        <v>Melee Weapons (Pole Arm)</v>
      </c>
      <c r="B50" s="1">
        <f>'Skill Workbook'!AE65</f>
        <v>0</v>
      </c>
      <c r="C50" s="26" t="e">
        <f ca="1">'Skill Workbook'!AL65</f>
        <v>#N/A</v>
      </c>
      <c r="D50" s="32" t="str">
        <f>IF('Skill Workbook'!H65="","-",'Skill Workbook'!AK65)</f>
        <v>-</v>
      </c>
      <c r="E50" s="21" t="str">
        <f>'Skill Workbook'!F123&amp;IF('Skill Workbook'!G123="",""," ("&amp;'Skill Workbook'!G123&amp;")")&amp;IF('Skill Workbook'!H123="",""," ("&amp;'Skill Workbook'!H123&amp;")")</f>
        <v>Spoken</v>
      </c>
      <c r="F50" s="1">
        <f>'Skill Workbook'!AE123</f>
        <v>0</v>
      </c>
      <c r="G50" s="26" t="e">
        <f ca="1">'Skill Workbook'!AL123</f>
        <v>#N/A</v>
      </c>
      <c r="H50" s="32" t="str">
        <f>IF('Skill Workbook'!H123="","-",'Skill Workbook'!AK123)</f>
        <v>-</v>
      </c>
      <c r="I50" s="21" t="str">
        <f>'Skill Workbook'!F183&amp;IF('Skill Workbook'!G183="",""," ("&amp;'Skill Workbook'!G183&amp;")")&amp;IF('Skill Workbook'!H183="",""," ("&amp;'Skill Workbook'!H183&amp;")")</f>
        <v>Open Spells</v>
      </c>
      <c r="J50" s="1">
        <f>'Skill Workbook'!AE183</f>
        <v>0</v>
      </c>
      <c r="K50" s="26" t="e">
        <f ca="1">'Skill Workbook'!AL183</f>
        <v>#N/A</v>
      </c>
      <c r="L50" s="32" t="str">
        <f>IF('Skill Workbook'!H183="","-",'Skill Workbook'!AK183)</f>
        <v>-</v>
      </c>
    </row>
    <row r="51" spans="1:12" ht="15.75" thickBot="1" x14ac:dyDescent="0.3">
      <c r="A51" s="23" t="str">
        <f>'Skill Workbook'!F66&amp;IF('Skill Workbook'!G66="",""," ("&amp;'Skill Workbook'!G66&amp;")")&amp;IF('Skill Workbook'!H66="",""," ("&amp;'Skill Workbook'!H66&amp;")")</f>
        <v>Melee Weapons (Exotic)</v>
      </c>
      <c r="B51" s="24">
        <f>'Skill Workbook'!AE66</f>
        <v>0</v>
      </c>
      <c r="C51" s="27" t="e">
        <f ca="1">'Skill Workbook'!AL66</f>
        <v>#N/A</v>
      </c>
      <c r="D51" s="34" t="str">
        <f>IF('Skill Workbook'!H66="","-",'Skill Workbook'!AK66)</f>
        <v>-</v>
      </c>
      <c r="E51" s="23" t="str">
        <f>'Skill Workbook'!F124&amp;IF('Skill Workbook'!G124="",""," ("&amp;'Skill Workbook'!G124&amp;")")&amp;IF('Skill Workbook'!H124="",""," ("&amp;'Skill Workbook'!H124&amp;")")</f>
        <v>Written</v>
      </c>
      <c r="F51" s="24">
        <f>'Skill Workbook'!AE124</f>
        <v>0</v>
      </c>
      <c r="G51" s="27" t="e">
        <f ca="1">'Skill Workbook'!AL124</f>
        <v>#N/A</v>
      </c>
      <c r="H51" s="34" t="str">
        <f>IF('Skill Workbook'!H124="","-",'Skill Workbook'!AK124)</f>
        <v>-</v>
      </c>
      <c r="I51" s="21" t="str">
        <f>'Skill Workbook'!F184&amp;IF('Skill Workbook'!G184="",""," ("&amp;'Skill Workbook'!G184&amp;")")&amp;IF('Skill Workbook'!H184="",""," ("&amp;'Skill Workbook'!H184&amp;")")</f>
        <v>Open Spells</v>
      </c>
      <c r="J51" s="1">
        <f>'Skill Workbook'!AE184</f>
        <v>0</v>
      </c>
      <c r="K51" s="26" t="e">
        <f ca="1">'Skill Workbook'!AL184</f>
        <v>#N/A</v>
      </c>
      <c r="L51" s="32" t="str">
        <f>IF('Skill Workbook'!H184="","-",'Skill Workbook'!AK184)</f>
        <v>-</v>
      </c>
    </row>
    <row r="52" spans="1:12" ht="15.75" x14ac:dyDescent="0.25">
      <c r="A52" s="575" t="s">
        <v>792</v>
      </c>
      <c r="B52" s="576"/>
      <c r="C52" s="576"/>
      <c r="D52" s="577"/>
      <c r="E52" s="575" t="s">
        <v>164</v>
      </c>
      <c r="F52" s="576"/>
      <c r="G52" s="576"/>
      <c r="H52" s="577"/>
      <c r="I52" s="21" t="str">
        <f>'Skill Workbook'!F185&amp;IF('Skill Workbook'!G185="",""," ("&amp;'Skill Workbook'!G185&amp;")")&amp;IF('Skill Workbook'!H185="",""," ("&amp;'Skill Workbook'!H185&amp;")")</f>
        <v>Open Spells</v>
      </c>
      <c r="J52" s="1">
        <f>'Skill Workbook'!AE185</f>
        <v>0</v>
      </c>
      <c r="K52" s="26" t="e">
        <f ca="1">'Skill Workbook'!AL185</f>
        <v>#N/A</v>
      </c>
      <c r="L52" s="32" t="str">
        <f>IF('Skill Workbook'!H185="","-",'Skill Workbook'!AK185)</f>
        <v>-</v>
      </c>
    </row>
    <row r="53" spans="1:12" x14ac:dyDescent="0.25">
      <c r="A53" s="21" t="str">
        <f>'Skill Workbook'!F67&amp;IF('Skill Workbook'!G67="",""," ("&amp;'Skill Workbook'!G67&amp;")")&amp;IF('Skill Workbook'!H67="",""," ("&amp;'Skill Workbook'!H67&amp;")")</f>
        <v>Unarmed (Strikes)</v>
      </c>
      <c r="B53" s="1">
        <f>'Skill Workbook'!AE67</f>
        <v>0</v>
      </c>
      <c r="C53" s="26" t="e">
        <f ca="1">'Skill Workbook'!AL67</f>
        <v>#N/A</v>
      </c>
      <c r="D53" s="32" t="str">
        <f>IF('Skill Workbook'!H67="","-",'Skill Workbook'!AK67)</f>
        <v>-</v>
      </c>
      <c r="E53" s="21" t="str">
        <f>'Skill Workbook'!F125&amp;IF('Skill Workbook'!G125="",""," ("&amp;'Skill Workbook'!G125&amp;")")&amp;IF('Skill Workbook'!H125="",""," ("&amp;'Skill Workbook'!H125&amp;")")</f>
        <v>Grace</v>
      </c>
      <c r="F53" s="1">
        <f>'Skill Workbook'!AE125</f>
        <v>0</v>
      </c>
      <c r="G53" s="26">
        <f ca="1">'Skill Workbook'!AL125</f>
        <v>-25</v>
      </c>
      <c r="H53" s="32" t="str">
        <f>IF('Skill Workbook'!H125="","-",'Skill Workbook'!AK125)</f>
        <v>-</v>
      </c>
      <c r="I53" s="21" t="str">
        <f>'Skill Workbook'!F186&amp;IF('Skill Workbook'!G186="",""," ("&amp;'Skill Workbook'!G186&amp;")")&amp;IF('Skill Workbook'!H186="",""," ("&amp;'Skill Workbook'!H186&amp;")")</f>
        <v>Open Spells</v>
      </c>
      <c r="J53" s="1">
        <f>'Skill Workbook'!AE186</f>
        <v>0</v>
      </c>
      <c r="K53" s="26" t="e">
        <f ca="1">'Skill Workbook'!AL186</f>
        <v>#N/A</v>
      </c>
      <c r="L53" s="32" t="str">
        <f>IF('Skill Workbook'!H186="","-",'Skill Workbook'!AK186)</f>
        <v>-</v>
      </c>
    </row>
    <row r="54" spans="1:12" x14ac:dyDescent="0.25">
      <c r="A54" s="21" t="str">
        <f>'Skill Workbook'!F68&amp;IF('Skill Workbook'!G68="",""," ("&amp;'Skill Workbook'!G68&amp;")")&amp;IF('Skill Workbook'!H68="",""," ("&amp;'Skill Workbook'!H68&amp;")")</f>
        <v>Unarmed (Sweeps &amp; Throws)</v>
      </c>
      <c r="B54" s="1">
        <f>'Skill Workbook'!AE68</f>
        <v>0</v>
      </c>
      <c r="C54" s="26" t="e">
        <f ca="1">'Skill Workbook'!AL68</f>
        <v>#N/A</v>
      </c>
      <c r="D54" s="32" t="str">
        <f>IF('Skill Workbook'!H68="","-",'Skill Workbook'!AK68)</f>
        <v>-</v>
      </c>
      <c r="E54" s="21" t="str">
        <f>'Skill Workbook'!F126&amp;IF('Skill Workbook'!G126="",""," ("&amp;'Skill Workbook'!G126&amp;")")&amp;IF('Skill Workbook'!H126="",""," ("&amp;'Skill Workbook'!H126&amp;")")</f>
        <v>Grace</v>
      </c>
      <c r="F54" s="1">
        <f>'Skill Workbook'!AE126</f>
        <v>0</v>
      </c>
      <c r="G54" s="26">
        <f ca="1">'Skill Workbook'!AL126</f>
        <v>-25</v>
      </c>
      <c r="H54" s="32" t="str">
        <f>IF('Skill Workbook'!H126="","-",'Skill Workbook'!AK126)</f>
        <v>-</v>
      </c>
      <c r="I54" s="21" t="str">
        <f>'Skill Workbook'!F187&amp;IF('Skill Workbook'!G187="",""," ("&amp;'Skill Workbook'!G187&amp;")")&amp;IF('Skill Workbook'!H187="",""," ("&amp;'Skill Workbook'!H187&amp;")")</f>
        <v>Open Spells</v>
      </c>
      <c r="J54" s="1">
        <f>'Skill Workbook'!AE187</f>
        <v>0</v>
      </c>
      <c r="K54" s="26" t="e">
        <f ca="1">'Skill Workbook'!AL187</f>
        <v>#N/A</v>
      </c>
      <c r="L54" s="32" t="str">
        <f>IF('Skill Workbook'!H187="","-",'Skill Workbook'!AK187)</f>
        <v>-</v>
      </c>
    </row>
    <row r="55" spans="1:12" ht="15.75" thickBot="1" x14ac:dyDescent="0.3">
      <c r="A55" s="23" t="str">
        <f>'Skill Workbook'!F69&amp;IF('Skill Workbook'!G69="",""," ("&amp;'Skill Workbook'!G69&amp;")")&amp;IF('Skill Workbook'!H69="",""," ("&amp;'Skill Workbook'!H69&amp;")")</f>
        <v>Unarmed (Wrestling)</v>
      </c>
      <c r="B55" s="24">
        <f>'Skill Workbook'!AE69</f>
        <v>0</v>
      </c>
      <c r="C55" s="27" t="e">
        <f ca="1">'Skill Workbook'!AL69</f>
        <v>#N/A</v>
      </c>
      <c r="D55" s="34" t="str">
        <f>IF('Skill Workbook'!H69="","-",'Skill Workbook'!AK69)</f>
        <v>-</v>
      </c>
      <c r="E55" s="21" t="str">
        <f>'Skill Workbook'!F127&amp;IF('Skill Workbook'!G127="",""," ("&amp;'Skill Workbook'!G127&amp;")")&amp;IF('Skill Workbook'!H127="",""," ("&amp;'Skill Workbook'!H127&amp;")")</f>
        <v>Grace</v>
      </c>
      <c r="F55" s="1">
        <f>'Skill Workbook'!AE127</f>
        <v>0</v>
      </c>
      <c r="G55" s="26">
        <f ca="1">'Skill Workbook'!AL127</f>
        <v>-25</v>
      </c>
      <c r="H55" s="32" t="str">
        <f>IF('Skill Workbook'!H127="","-",'Skill Workbook'!AK127)</f>
        <v>-</v>
      </c>
      <c r="I55" s="21" t="str">
        <f>'Skill Workbook'!F188&amp;IF('Skill Workbook'!G188="",""," ("&amp;'Skill Workbook'!G188&amp;")")&amp;IF('Skill Workbook'!H188="",""," ("&amp;'Skill Workbook'!H188&amp;")")</f>
        <v>Open Spells</v>
      </c>
      <c r="J55" s="1">
        <f>'Skill Workbook'!AE188</f>
        <v>0</v>
      </c>
      <c r="K55" s="26" t="e">
        <f ca="1">'Skill Workbook'!AL188</f>
        <v>#N/A</v>
      </c>
      <c r="L55" s="32" t="str">
        <f>IF('Skill Workbook'!H188="","-",'Skill Workbook'!AK188)</f>
        <v>-</v>
      </c>
    </row>
    <row r="56" spans="1:12" ht="15.75" x14ac:dyDescent="0.25">
      <c r="A56" s="575" t="s">
        <v>793</v>
      </c>
      <c r="B56" s="576"/>
      <c r="C56" s="576"/>
      <c r="D56" s="577"/>
      <c r="E56" s="21" t="str">
        <f>'Skill Workbook'!F128&amp;IF('Skill Workbook'!G128="",""," ("&amp;'Skill Workbook'!G128&amp;")")&amp;IF('Skill Workbook'!H128="",""," ("&amp;'Skill Workbook'!H128&amp;")")</f>
        <v>Spell Trickery</v>
      </c>
      <c r="F56" s="1">
        <f>'Skill Workbook'!AE128</f>
        <v>0</v>
      </c>
      <c r="G56" s="26">
        <f ca="1">'Skill Workbook'!AL128</f>
        <v>-25</v>
      </c>
      <c r="H56" s="32" t="str">
        <f>IF('Skill Workbook'!H128="","-",'Skill Workbook'!AK128)</f>
        <v>-</v>
      </c>
      <c r="I56" s="21" t="str">
        <f>'Skill Workbook'!F189&amp;IF('Skill Workbook'!G189="",""," ("&amp;'Skill Workbook'!G189&amp;")")&amp;IF('Skill Workbook'!H189="",""," ("&amp;'Skill Workbook'!H189&amp;")")</f>
        <v>Open Spells</v>
      </c>
      <c r="J56" s="1">
        <f>'Skill Workbook'!AE189</f>
        <v>0</v>
      </c>
      <c r="K56" s="26" t="e">
        <f ca="1">'Skill Workbook'!AL189</f>
        <v>#N/A</v>
      </c>
      <c r="L56" s="32" t="str">
        <f>IF('Skill Workbook'!H189="","-",'Skill Workbook'!AK189)</f>
        <v>-</v>
      </c>
    </row>
    <row r="57" spans="1:12" x14ac:dyDescent="0.25">
      <c r="A57" s="21" t="str">
        <f>'Skill Workbook'!F70&amp;IF('Skill Workbook'!G70="",""," ("&amp;'Skill Workbook'!G70&amp;")")&amp;IF('Skill Workbook'!H70="",""," ("&amp;'Skill Workbook'!H70&amp;")")</f>
        <v>Ranged Weapons (Bow)</v>
      </c>
      <c r="B57" s="1">
        <f>'Skill Workbook'!AE70</f>
        <v>0</v>
      </c>
      <c r="C57" s="26" t="e">
        <f ca="1">'Skill Workbook'!AL70</f>
        <v>#N/A</v>
      </c>
      <c r="D57" s="32" t="str">
        <f>IF('Skill Workbook'!H70="","-",'Skill Workbook'!AK70)</f>
        <v>-</v>
      </c>
      <c r="E57" s="21" t="str">
        <f>'Skill Workbook'!F129&amp;IF('Skill Workbook'!G129="",""," ("&amp;'Skill Workbook'!G129&amp;")")&amp;IF('Skill Workbook'!H129="",""," ("&amp;'Skill Workbook'!H129&amp;")")</f>
        <v>Spell Trickery</v>
      </c>
      <c r="F57" s="1">
        <f>'Skill Workbook'!AE129</f>
        <v>0</v>
      </c>
      <c r="G57" s="26">
        <f ca="1">'Skill Workbook'!AL129</f>
        <v>-25</v>
      </c>
      <c r="H57" s="32" t="str">
        <f>IF('Skill Workbook'!H129="","-",'Skill Workbook'!AK129)</f>
        <v>-</v>
      </c>
      <c r="I57" s="21" t="str">
        <f>'Skill Workbook'!F190&amp;IF('Skill Workbook'!G190="",""," ("&amp;'Skill Workbook'!G190&amp;")")&amp;IF('Skill Workbook'!H190="",""," ("&amp;'Skill Workbook'!H190&amp;")")</f>
        <v>Open Spells</v>
      </c>
      <c r="J57" s="1">
        <f>'Skill Workbook'!AE190</f>
        <v>0</v>
      </c>
      <c r="K57" s="26" t="e">
        <f ca="1">'Skill Workbook'!AL190</f>
        <v>#N/A</v>
      </c>
      <c r="L57" s="32" t="str">
        <f>IF('Skill Workbook'!H190="","-",'Skill Workbook'!AK190)</f>
        <v>-</v>
      </c>
    </row>
    <row r="58" spans="1:12" ht="15.75" thickBot="1" x14ac:dyDescent="0.3">
      <c r="A58" s="21" t="str">
        <f>'Skill Workbook'!F71&amp;IF('Skill Workbook'!G71="",""," ("&amp;'Skill Workbook'!G71&amp;")")&amp;IF('Skill Workbook'!H71="",""," ("&amp;'Skill Workbook'!H71&amp;")")</f>
        <v>Ranged Weapons (Crossbow)</v>
      </c>
      <c r="B58" s="1">
        <f>'Skill Workbook'!AE71</f>
        <v>0</v>
      </c>
      <c r="C58" s="26" t="e">
        <f ca="1">'Skill Workbook'!AL71</f>
        <v>#N/A</v>
      </c>
      <c r="D58" s="32" t="str">
        <f>IF('Skill Workbook'!H71="","-",'Skill Workbook'!AK71)</f>
        <v>-</v>
      </c>
      <c r="E58" s="23" t="str">
        <f>'Skill Workbook'!F130&amp;IF('Skill Workbook'!G130="",""," ("&amp;'Skill Workbook'!G130&amp;")")&amp;IF('Skill Workbook'!H130="",""," ("&amp;'Skill Workbook'!H130&amp;")")</f>
        <v>Transcendence</v>
      </c>
      <c r="F58" s="24">
        <f>'Skill Workbook'!AE130</f>
        <v>0</v>
      </c>
      <c r="G58" s="27">
        <f ca="1">'Skill Workbook'!AL130</f>
        <v>-25</v>
      </c>
      <c r="H58" s="34" t="str">
        <f>IF('Skill Workbook'!H130="","-",'Skill Workbook'!AK130)</f>
        <v>-</v>
      </c>
      <c r="I58" s="21" t="str">
        <f>'Skill Workbook'!F191&amp;IF('Skill Workbook'!G191="",""," ("&amp;'Skill Workbook'!G191&amp;")")&amp;IF('Skill Workbook'!H191="",""," ("&amp;'Skill Workbook'!H191&amp;")")</f>
        <v>Open Spells</v>
      </c>
      <c r="J58" s="1">
        <f>'Skill Workbook'!AE191</f>
        <v>0</v>
      </c>
      <c r="K58" s="26" t="e">
        <f ca="1">'Skill Workbook'!AL191</f>
        <v>#N/A</v>
      </c>
      <c r="L58" s="32" t="str">
        <f>IF('Skill Workbook'!H191="","-",'Skill Workbook'!AK191)</f>
        <v>-</v>
      </c>
    </row>
    <row r="59" spans="1:12" ht="16.5" thickBot="1" x14ac:dyDescent="0.3">
      <c r="A59" s="21" t="str">
        <f>'Skill Workbook'!F72&amp;IF('Skill Workbook'!G72="",""," ("&amp;'Skill Workbook'!G72&amp;")")&amp;IF('Skill Workbook'!H72="",""," ("&amp;'Skill Workbook'!H72&amp;")")</f>
        <v>Ranged Weapons (Sling)</v>
      </c>
      <c r="B59" s="1">
        <f>'Skill Workbook'!AE72</f>
        <v>0</v>
      </c>
      <c r="C59" s="26" t="e">
        <f ca="1">'Skill Workbook'!AL72</f>
        <v>#N/A</v>
      </c>
      <c r="D59" s="32" t="str">
        <f>IF('Skill Workbook'!H72="","-",'Skill Workbook'!AK72)</f>
        <v>-</v>
      </c>
      <c r="E59" s="575" t="s">
        <v>168</v>
      </c>
      <c r="F59" s="576"/>
      <c r="G59" s="576"/>
      <c r="H59" s="577"/>
      <c r="I59" s="23" t="str">
        <f>'Skill Workbook'!F192&amp;IF('Skill Workbook'!G192="",""," ("&amp;'Skill Workbook'!G192&amp;")")&amp;IF('Skill Workbook'!H192="",""," ("&amp;'Skill Workbook'!H192&amp;")")</f>
        <v>Open Spells</v>
      </c>
      <c r="J59" s="24">
        <f>'Skill Workbook'!AE192</f>
        <v>0</v>
      </c>
      <c r="K59" s="27" t="e">
        <f ca="1">'Skill Workbook'!AL192</f>
        <v>#N/A</v>
      </c>
      <c r="L59" s="34" t="str">
        <f>IF('Skill Workbook'!H192="","-",'Skill Workbook'!AK192)</f>
        <v>-</v>
      </c>
    </row>
    <row r="60" spans="1:12" ht="15.75" x14ac:dyDescent="0.25">
      <c r="A60" s="21" t="str">
        <f>'Skill Workbook'!F73&amp;IF('Skill Workbook'!G73="",""," ("&amp;'Skill Workbook'!G73&amp;")")&amp;IF('Skill Workbook'!H73="",""," ("&amp;'Skill Workbook'!H73&amp;")")</f>
        <v>Ranged Weapons (Thrown)</v>
      </c>
      <c r="B60" s="1">
        <f>'Skill Workbook'!AE73</f>
        <v>0</v>
      </c>
      <c r="C60" s="26" t="e">
        <f ca="1">'Skill Workbook'!AL73</f>
        <v>#N/A</v>
      </c>
      <c r="D60" s="32" t="str">
        <f>IF('Skill Workbook'!H73="","-",'Skill Workbook'!AK73)</f>
        <v>-</v>
      </c>
      <c r="E60" s="21" t="str">
        <f>'Skill Workbook'!F131&amp;IF('Skill Workbook'!G131="",""," ("&amp;'Skill Workbook'!G131&amp;")")&amp;IF('Skill Workbook'!H131="",""," ("&amp;'Skill Workbook'!H131&amp;")")</f>
        <v>Herbalism</v>
      </c>
      <c r="F60" s="1">
        <f>'Skill Workbook'!AE131</f>
        <v>0</v>
      </c>
      <c r="G60" s="26" t="e">
        <f ca="1">'Skill Workbook'!AL131</f>
        <v>#N/A</v>
      </c>
      <c r="H60" s="32" t="str">
        <f>IF('Skill Workbook'!H131="","-",'Skill Workbook'!AK131)</f>
        <v>-</v>
      </c>
      <c r="I60" s="575" t="s">
        <v>267</v>
      </c>
      <c r="J60" s="576"/>
      <c r="K60" s="576"/>
      <c r="L60" s="577"/>
    </row>
    <row r="61" spans="1:12" ht="15.75" thickBot="1" x14ac:dyDescent="0.3">
      <c r="A61" s="23" t="str">
        <f>'Skill Workbook'!F74&amp;IF('Skill Workbook'!G74="",""," ("&amp;'Skill Workbook'!G74&amp;")")&amp;IF('Skill Workbook'!H74="",""," ("&amp;'Skill Workbook'!H74&amp;")")</f>
        <v>Ranged Weapons (Exotic)</v>
      </c>
      <c r="B61" s="24">
        <f>'Skill Workbook'!AE74</f>
        <v>0</v>
      </c>
      <c r="C61" s="27" t="e">
        <f ca="1">'Skill Workbook'!AL74</f>
        <v>#N/A</v>
      </c>
      <c r="D61" s="34" t="str">
        <f>IF('Skill Workbook'!H74="","-",'Skill Workbook'!AK74)</f>
        <v>-</v>
      </c>
      <c r="E61" s="21" t="str">
        <f>'Skill Workbook'!F132&amp;IF('Skill Workbook'!G132="",""," ("&amp;'Skill Workbook'!G132&amp;")")&amp;IF('Skill Workbook'!H132="",""," ("&amp;'Skill Workbook'!H132&amp;")")</f>
        <v>Medicine</v>
      </c>
      <c r="F61" s="1">
        <f>'Skill Workbook'!AE132</f>
        <v>0</v>
      </c>
      <c r="G61" s="26" t="e">
        <f ca="1">'Skill Workbook'!AL132</f>
        <v>#N/A</v>
      </c>
      <c r="H61" s="32" t="str">
        <f>IF('Skill Workbook'!H132="","-",'Skill Workbook'!AK132)</f>
        <v>-</v>
      </c>
      <c r="I61" s="21" t="str">
        <f>'Skill Workbook'!F193&amp;IF('Skill Workbook'!G193="",""," ("&amp;'Skill Workbook'!G193&amp;")")&amp;IF('Skill Workbook'!H193="",""," ("&amp;'Skill Workbook'!H193&amp;")")</f>
        <v>Closed Spells</v>
      </c>
      <c r="J61" s="1">
        <f>'Skill Workbook'!AE193</f>
        <v>0</v>
      </c>
      <c r="K61" s="26" t="e">
        <f ca="1">'Skill Workbook'!AL193</f>
        <v>#N/A</v>
      </c>
      <c r="L61" s="32" t="str">
        <f>IF('Skill Workbook'!H193="","-",'Skill Workbook'!AK193)</f>
        <v>-</v>
      </c>
    </row>
    <row r="62" spans="1:12" ht="16.5" thickBot="1" x14ac:dyDescent="0.3">
      <c r="A62" s="575" t="s">
        <v>794</v>
      </c>
      <c r="B62" s="576"/>
      <c r="C62" s="576"/>
      <c r="D62" s="577"/>
      <c r="E62" s="23" t="str">
        <f>'Skill Workbook'!F133&amp;IF('Skill Workbook'!G133="",""," ("&amp;'Skill Workbook'!G133&amp;")")&amp;IF('Skill Workbook'!H133="",""," ("&amp;'Skill Workbook'!H133&amp;")")</f>
        <v>Poison Mastery</v>
      </c>
      <c r="F62" s="24">
        <f>'Skill Workbook'!AE133</f>
        <v>0</v>
      </c>
      <c r="G62" s="27" t="e">
        <f ca="1">'Skill Workbook'!AL133</f>
        <v>#N/A</v>
      </c>
      <c r="H62" s="34" t="str">
        <f>IF('Skill Workbook'!H133="","-",'Skill Workbook'!AK133)</f>
        <v>-</v>
      </c>
      <c r="I62" s="21" t="str">
        <f>'Skill Workbook'!F194&amp;IF('Skill Workbook'!G194="",""," ("&amp;'Skill Workbook'!G194&amp;")")&amp;IF('Skill Workbook'!H194="",""," ("&amp;'Skill Workbook'!H194&amp;")")</f>
        <v>Closed Spells</v>
      </c>
      <c r="J62" s="1">
        <f>'Skill Workbook'!AE194</f>
        <v>0</v>
      </c>
      <c r="K62" s="26" t="e">
        <f ca="1">'Skill Workbook'!AL194</f>
        <v>#N/A</v>
      </c>
      <c r="L62" s="32" t="str">
        <f>IF('Skill Workbook'!H194="","-",'Skill Workbook'!AK194)</f>
        <v>-</v>
      </c>
    </row>
    <row r="63" spans="1:12" ht="15.75" x14ac:dyDescent="0.25">
      <c r="A63" s="21" t="str">
        <f>'Skill Workbook'!F75&amp;IF('Skill Workbook'!G75="",""," ("&amp;'Skill Workbook'!G75&amp;")")&amp;IF('Skill Workbook'!H75="",""," ("&amp;'Skill Workbook'!H75&amp;")")</f>
        <v>Shield</v>
      </c>
      <c r="B63" s="1">
        <f>'Skill Workbook'!AE75</f>
        <v>0</v>
      </c>
      <c r="C63" s="26" t="e">
        <f ca="1">'Skill Workbook'!AL75</f>
        <v>#N/A</v>
      </c>
      <c r="D63" s="32" t="str">
        <f>IF('Skill Workbook'!H75="","-",'Skill Workbook'!AK75)</f>
        <v>-</v>
      </c>
      <c r="E63" s="575" t="s">
        <v>172</v>
      </c>
      <c r="F63" s="576"/>
      <c r="G63" s="576"/>
      <c r="H63" s="577"/>
      <c r="I63" s="21" t="str">
        <f>'Skill Workbook'!F195&amp;IF('Skill Workbook'!G195="",""," ("&amp;'Skill Workbook'!G195&amp;")")&amp;IF('Skill Workbook'!H195="",""," ("&amp;'Skill Workbook'!H195&amp;")")</f>
        <v>Closed Spells</v>
      </c>
      <c r="J63" s="1">
        <f>'Skill Workbook'!AE195</f>
        <v>0</v>
      </c>
      <c r="K63" s="26" t="e">
        <f ca="1">'Skill Workbook'!AL195</f>
        <v>#N/A</v>
      </c>
      <c r="L63" s="32" t="str">
        <f>IF('Skill Workbook'!H195="","-",'Skill Workbook'!AK195)</f>
        <v>-</v>
      </c>
    </row>
    <row r="64" spans="1:12" ht="15.75" thickBot="1" x14ac:dyDescent="0.3">
      <c r="A64" s="23" t="str">
        <f>'Skill Workbook'!F76&amp;IF('Skill Workbook'!G76="",""," ("&amp;'Skill Workbook'!G76&amp;")")&amp;IF('Skill Workbook'!H76="",""," ("&amp;'Skill Workbook'!H76&amp;")")</f>
        <v>Main Gauche</v>
      </c>
      <c r="B64" s="24">
        <f>'Skill Workbook'!AE76</f>
        <v>0</v>
      </c>
      <c r="C64" s="27" t="e">
        <f ca="1">'Skill Workbook'!AL76</f>
        <v>#N/A</v>
      </c>
      <c r="D64" s="34" t="str">
        <f>IF('Skill Workbook'!H76="","-",'Skill Workbook'!AK76)</f>
        <v>-</v>
      </c>
      <c r="E64" s="21" t="str">
        <f>'Skill Workbook'!F134&amp;IF('Skill Workbook'!G134="",""," ("&amp;'Skill Workbook'!G134&amp;")")&amp;IF('Skill Workbook'!H134="",""," ("&amp;'Skill Workbook'!H134&amp;")")</f>
        <v>Control Lycanthropy</v>
      </c>
      <c r="F64" s="1">
        <f>'Skill Workbook'!AE134</f>
        <v>0</v>
      </c>
      <c r="G64" s="26" t="e">
        <f ca="1">'Skill Workbook'!AL134</f>
        <v>#N/A</v>
      </c>
      <c r="H64" s="32" t="str">
        <f>IF('Skill Workbook'!H134="","-",'Skill Workbook'!AK134)</f>
        <v>-</v>
      </c>
      <c r="I64" s="21" t="str">
        <f>'Skill Workbook'!F196&amp;IF('Skill Workbook'!G196="",""," ("&amp;'Skill Workbook'!G196&amp;")")&amp;IF('Skill Workbook'!H196="",""," ("&amp;'Skill Workbook'!H196&amp;")")</f>
        <v>Closed Spells</v>
      </c>
      <c r="J64" s="1">
        <f>'Skill Workbook'!AE196</f>
        <v>0</v>
      </c>
      <c r="K64" s="26" t="e">
        <f ca="1">'Skill Workbook'!AL196</f>
        <v>#N/A</v>
      </c>
      <c r="L64" s="32" t="str">
        <f>IF('Skill Workbook'!H196="","-",'Skill Workbook'!AK196)</f>
        <v>-</v>
      </c>
    </row>
    <row r="65" spans="1:12" ht="15.75" x14ac:dyDescent="0.25">
      <c r="A65" s="575" t="s">
        <v>121</v>
      </c>
      <c r="B65" s="576"/>
      <c r="C65" s="576"/>
      <c r="D65" s="577"/>
      <c r="E65" s="21" t="str">
        <f>'Skill Workbook'!F135&amp;IF('Skill Workbook'!G135="",""," ("&amp;'Skill Workbook'!G135&amp;")")&amp;IF('Skill Workbook'!H135="",""," ("&amp;'Skill Workbook'!H135&amp;")")</f>
        <v>Meditation</v>
      </c>
      <c r="F65" s="1">
        <f>'Skill Workbook'!AE135</f>
        <v>0</v>
      </c>
      <c r="G65" s="26" t="e">
        <f ca="1">'Skill Workbook'!AL135</f>
        <v>#N/A</v>
      </c>
      <c r="H65" s="32" t="str">
        <f>IF('Skill Workbook'!H135="","-",'Skill Workbook'!AK135)</f>
        <v>-</v>
      </c>
      <c r="I65" s="21" t="str">
        <f>'Skill Workbook'!F197&amp;IF('Skill Workbook'!G197="",""," ("&amp;'Skill Workbook'!G197&amp;")")&amp;IF('Skill Workbook'!H197="",""," ("&amp;'Skill Workbook'!H197&amp;")")</f>
        <v>Closed Spells</v>
      </c>
      <c r="J65" s="1">
        <f>'Skill Workbook'!AE197</f>
        <v>0</v>
      </c>
      <c r="K65" s="26" t="e">
        <f ca="1">'Skill Workbook'!AL197</f>
        <v>#N/A</v>
      </c>
      <c r="L65" s="32" t="str">
        <f>IF('Skill Workbook'!H197="","-",'Skill Workbook'!AK197)</f>
        <v>-</v>
      </c>
    </row>
    <row r="66" spans="1:12" ht="15.75" thickBot="1" x14ac:dyDescent="0.3">
      <c r="A66" s="21" t="str">
        <f>'Skill Workbook'!F77&amp;IF('Skill Workbook'!G77="",""," ("&amp;'Skill Workbook'!G77&amp;")")&amp;IF('Skill Workbook'!H77="",""," ("&amp;'Skill Workbook'!H77&amp;")")</f>
        <v>Illusion Crafting</v>
      </c>
      <c r="B66" s="1">
        <f>'Skill Workbook'!AE77</f>
        <v>0</v>
      </c>
      <c r="C66" s="26" t="e">
        <f ca="1">'Skill Workbook'!AL77</f>
        <v>#N/A</v>
      </c>
      <c r="D66" s="32" t="str">
        <f>IF('Skill Workbook'!H77="","-",'Skill Workbook'!AK77)</f>
        <v>-</v>
      </c>
      <c r="E66" s="23" t="str">
        <f>'Skill Workbook'!F136&amp;IF('Skill Workbook'!G136="",""," ("&amp;'Skill Workbook'!G136&amp;")")&amp;IF('Skill Workbook'!H136="",""," ("&amp;'Skill Workbook'!H136&amp;")")</f>
        <v>Mental Focus</v>
      </c>
      <c r="F66" s="24">
        <f>'Skill Workbook'!AE136</f>
        <v>0</v>
      </c>
      <c r="G66" s="27" t="e">
        <f ca="1">'Skill Workbook'!AL136</f>
        <v>#N/A</v>
      </c>
      <c r="H66" s="34" t="str">
        <f>IF('Skill Workbook'!H136="","-",'Skill Workbook'!AK136)</f>
        <v>-</v>
      </c>
      <c r="I66" s="21" t="str">
        <f>'Skill Workbook'!F198&amp;IF('Skill Workbook'!G198="",""," ("&amp;'Skill Workbook'!G198&amp;")")&amp;IF('Skill Workbook'!H198="",""," ("&amp;'Skill Workbook'!H198&amp;")")</f>
        <v>Closed Spells</v>
      </c>
      <c r="J66" s="1">
        <f>'Skill Workbook'!AE198</f>
        <v>0</v>
      </c>
      <c r="K66" s="26" t="e">
        <f ca="1">'Skill Workbook'!AL198</f>
        <v>#N/A</v>
      </c>
      <c r="L66" s="32" t="str">
        <f>IF('Skill Workbook'!H198="","-",'Skill Workbook'!AK198)</f>
        <v>-</v>
      </c>
    </row>
    <row r="67" spans="1:12" ht="15.75" x14ac:dyDescent="0.25">
      <c r="A67" s="21" t="str">
        <f>'Skill Workbook'!F78&amp;IF('Skill Workbook'!G78="",""," ("&amp;'Skill Workbook'!G78&amp;")")&amp;IF('Skill Workbook'!H78="",""," ("&amp;'Skill Workbook'!H78&amp;")")</f>
        <v>Musical Composition</v>
      </c>
      <c r="B67" s="1">
        <f>'Skill Workbook'!AE78</f>
        <v>0</v>
      </c>
      <c r="C67" s="26" t="e">
        <f ca="1">'Skill Workbook'!AL78</f>
        <v>#N/A</v>
      </c>
      <c r="D67" s="32" t="str">
        <f>IF('Skill Workbook'!H78="","-",'Skill Workbook'!AK78)</f>
        <v>-</v>
      </c>
      <c r="E67" s="575" t="s">
        <v>177</v>
      </c>
      <c r="F67" s="576"/>
      <c r="G67" s="576"/>
      <c r="H67" s="577"/>
      <c r="I67" s="21" t="str">
        <f>'Skill Workbook'!F199&amp;IF('Skill Workbook'!G199="",""," ("&amp;'Skill Workbook'!G199&amp;")")&amp;IF('Skill Workbook'!H199="",""," ("&amp;'Skill Workbook'!H199&amp;")")</f>
        <v>Closed Spells</v>
      </c>
      <c r="J67" s="1">
        <f>'Skill Workbook'!AE199</f>
        <v>0</v>
      </c>
      <c r="K67" s="26" t="e">
        <f ca="1">'Skill Workbook'!AL199</f>
        <v>#N/A</v>
      </c>
      <c r="L67" s="32" t="str">
        <f>IF('Skill Workbook'!H199="","-",'Skill Workbook'!AK199)</f>
        <v>-</v>
      </c>
    </row>
    <row r="68" spans="1:12" ht="15.75" thickBot="1" x14ac:dyDescent="0.3">
      <c r="A68" s="23" t="str">
        <f>'Skill Workbook'!F79&amp;IF('Skill Workbook'!G79="",""," ("&amp;'Skill Workbook'!G79&amp;")")&amp;IF('Skill Workbook'!H79="",""," ("&amp;'Skill Workbook'!H79&amp;")")</f>
        <v>Writing</v>
      </c>
      <c r="B68" s="24">
        <f>'Skill Workbook'!AE79</f>
        <v>0</v>
      </c>
      <c r="C68" s="27" t="e">
        <f ca="1">'Skill Workbook'!AL79</f>
        <v>#N/A</v>
      </c>
      <c r="D68" s="34" t="str">
        <f>IF('Skill Workbook'!H79="","-",'Skill Workbook'!AK79)</f>
        <v>-</v>
      </c>
      <c r="E68" s="21" t="str">
        <f>'Skill Workbook'!F137&amp;IF('Skill Workbook'!G137="",""," ("&amp;'Skill Workbook'!G137&amp;")")&amp;IF('Skill Workbook'!H137="",""," ("&amp;'Skill Workbook'!H137&amp;")")</f>
        <v>Climbing</v>
      </c>
      <c r="F68" s="1">
        <f>'Skill Workbook'!AE137</f>
        <v>0</v>
      </c>
      <c r="G68" s="26" t="e">
        <f ca="1">'Skill Workbook'!AL137</f>
        <v>#N/A</v>
      </c>
      <c r="H68" s="32" t="str">
        <f>IF('Skill Workbook'!H137="","-",'Skill Workbook'!AK137)</f>
        <v>-</v>
      </c>
      <c r="I68" s="21" t="str">
        <f>'Skill Workbook'!F200&amp;IF('Skill Workbook'!G200="",""," ("&amp;'Skill Workbook'!G200&amp;")")&amp;IF('Skill Workbook'!H200="",""," ("&amp;'Skill Workbook'!H200&amp;")")</f>
        <v>Closed Spells</v>
      </c>
      <c r="J68" s="1">
        <f>'Skill Workbook'!AE200</f>
        <v>0</v>
      </c>
      <c r="K68" s="26" t="e">
        <f ca="1">'Skill Workbook'!AL200</f>
        <v>#N/A</v>
      </c>
      <c r="L68" s="32" t="str">
        <f>IF('Skill Workbook'!H200="","-",'Skill Workbook'!AK200)</f>
        <v>-</v>
      </c>
    </row>
    <row r="69" spans="1:12" ht="15.75" x14ac:dyDescent="0.25">
      <c r="A69" s="575" t="s">
        <v>127</v>
      </c>
      <c r="B69" s="576"/>
      <c r="C69" s="576"/>
      <c r="D69" s="577"/>
      <c r="E69" s="21" t="str">
        <f>'Skill Workbook'!F138&amp;IF('Skill Workbook'!G138="",""," ("&amp;'Skill Workbook'!G138&amp;")")&amp;IF('Skill Workbook'!H138="",""," ("&amp;'Skill Workbook'!H138&amp;")")</f>
        <v>Flying</v>
      </c>
      <c r="F69" s="1">
        <f>'Skill Workbook'!AE138</f>
        <v>0</v>
      </c>
      <c r="G69" s="26" t="e">
        <f ca="1">'Skill Workbook'!AL138</f>
        <v>#N/A</v>
      </c>
      <c r="H69" s="32" t="str">
        <f>IF('Skill Workbook'!H138="","-",'Skill Workbook'!AK138)</f>
        <v>-</v>
      </c>
      <c r="I69" s="21" t="str">
        <f>'Skill Workbook'!F201&amp;IF('Skill Workbook'!G201="",""," ("&amp;'Skill Workbook'!G201&amp;")")&amp;IF('Skill Workbook'!H201="",""," ("&amp;'Skill Workbook'!H201&amp;")")</f>
        <v>Closed Spells</v>
      </c>
      <c r="J69" s="1">
        <f>'Skill Workbook'!AE201</f>
        <v>0</v>
      </c>
      <c r="K69" s="26" t="e">
        <f ca="1">'Skill Workbook'!AL201</f>
        <v>#N/A</v>
      </c>
      <c r="L69" s="32" t="str">
        <f>IF('Skill Workbook'!H201="","-",'Skill Workbook'!AK201)</f>
        <v>-</v>
      </c>
    </row>
    <row r="70" spans="1:12" ht="15.75" thickBot="1" x14ac:dyDescent="0.3">
      <c r="A70" s="21" t="str">
        <f>'Skill Workbook'!F80&amp;IF('Skill Workbook'!G80="",""," ("&amp;'Skill Workbook'!G80&amp;")")&amp;IF('Skill Workbook'!H80="",""," ("&amp;'Skill Workbook'!H80&amp;")")</f>
        <v>Culinary</v>
      </c>
      <c r="B70" s="1">
        <f>'Skill Workbook'!AE80</f>
        <v>0</v>
      </c>
      <c r="C70" s="26" t="e">
        <f ca="1">'Skill Workbook'!AL80</f>
        <v>#N/A</v>
      </c>
      <c r="D70" s="32" t="str">
        <f>IF('Skill Workbook'!H80="","-",'Skill Workbook'!AK80)</f>
        <v>-</v>
      </c>
      <c r="E70" s="21" t="str">
        <f>'Skill Workbook'!F139&amp;IF('Skill Workbook'!G139="",""," ("&amp;'Skill Workbook'!G139&amp;")")&amp;IF('Skill Workbook'!H139="",""," ("&amp;'Skill Workbook'!H139&amp;")")</f>
        <v>Running</v>
      </c>
      <c r="F70" s="1">
        <f>'Skill Workbook'!AE139</f>
        <v>0</v>
      </c>
      <c r="G70" s="26" t="e">
        <f ca="1">'Skill Workbook'!AL139</f>
        <v>#N/A</v>
      </c>
      <c r="H70" s="32" t="str">
        <f>IF('Skill Workbook'!H139="","-",'Skill Workbook'!AK139)</f>
        <v>-</v>
      </c>
      <c r="I70" s="23" t="str">
        <f>'Skill Workbook'!F202&amp;IF('Skill Workbook'!G202="",""," ("&amp;'Skill Workbook'!G202&amp;")")&amp;IF('Skill Workbook'!H202="",""," ("&amp;'Skill Workbook'!H202&amp;")")</f>
        <v>Closed Spells</v>
      </c>
      <c r="J70" s="24">
        <f>'Skill Workbook'!AE202</f>
        <v>0</v>
      </c>
      <c r="K70" s="27" t="e">
        <f ca="1">'Skill Workbook'!AL202</f>
        <v>#N/A</v>
      </c>
      <c r="L70" s="34" t="str">
        <f>IF('Skill Workbook'!H202="","-",'Skill Workbook'!AK202)</f>
        <v>-</v>
      </c>
    </row>
    <row r="71" spans="1:12" ht="16.5" thickBot="1" x14ac:dyDescent="0.3">
      <c r="A71" s="21" t="str">
        <f>'Skill Workbook'!F81&amp;IF('Skill Workbook'!G81="",""," ("&amp;'Skill Workbook'!G81&amp;")")&amp;IF('Skill Workbook'!H81="",""," ("&amp;'Skill Workbook'!H81&amp;")")</f>
        <v>Drawing/Painting</v>
      </c>
      <c r="B71" s="1">
        <f>'Skill Workbook'!AE81</f>
        <v>0</v>
      </c>
      <c r="C71" s="26" t="e">
        <f ca="1">'Skill Workbook'!AL81</f>
        <v>#N/A</v>
      </c>
      <c r="D71" s="32" t="str">
        <f>IF('Skill Workbook'!H81="","-",'Skill Workbook'!AK81)</f>
        <v>-</v>
      </c>
      <c r="E71" s="23" t="str">
        <f>'Skill Workbook'!F140&amp;IF('Skill Workbook'!G140="",""," ("&amp;'Skill Workbook'!G140&amp;")")&amp;IF('Skill Workbook'!H140="",""," ("&amp;'Skill Workbook'!H140&amp;")")</f>
        <v>Swimming</v>
      </c>
      <c r="F71" s="24">
        <f>'Skill Workbook'!AE140</f>
        <v>0</v>
      </c>
      <c r="G71" s="27" t="e">
        <f ca="1">'Skill Workbook'!AL140</f>
        <v>#N/A</v>
      </c>
      <c r="H71" s="34" t="str">
        <f>IF('Skill Workbook'!H140="","-",'Skill Workbook'!AK140)</f>
        <v>-</v>
      </c>
      <c r="I71" s="575" t="s">
        <v>795</v>
      </c>
      <c r="J71" s="576"/>
      <c r="K71" s="576"/>
      <c r="L71" s="577"/>
    </row>
    <row r="72" spans="1:12" ht="15.75" x14ac:dyDescent="0.25">
      <c r="A72" s="21" t="str">
        <f>'Skill Workbook'!F82&amp;IF('Skill Workbook'!G82="",""," ("&amp;'Skill Workbook'!G82&amp;")")&amp;IF('Skill Workbook'!H82="",""," ("&amp;'Skill Workbook'!H82&amp;")")</f>
        <v>Fabric Craft</v>
      </c>
      <c r="B72" s="1">
        <f>'Skill Workbook'!AE82</f>
        <v>0</v>
      </c>
      <c r="C72" s="26" t="e">
        <f ca="1">'Skill Workbook'!AL82</f>
        <v>#N/A</v>
      </c>
      <c r="D72" s="32" t="str">
        <f>IF('Skill Workbook'!H82="","-",'Skill Workbook'!AK82)</f>
        <v>-</v>
      </c>
      <c r="E72" s="575" t="s">
        <v>183</v>
      </c>
      <c r="F72" s="576"/>
      <c r="G72" s="576"/>
      <c r="H72" s="577"/>
      <c r="I72" s="21" t="str">
        <f>'Skill Workbook'!F203&amp;IF('Skill Workbook'!G203="",""," ("&amp;'Skill Workbook'!G203&amp;")")&amp;IF('Skill Workbook'!H203="",""," ("&amp;'Skill Workbook'!H203&amp;")")</f>
        <v>Magical Ritual (Alteration)</v>
      </c>
      <c r="J72" s="1">
        <f>'Skill Workbook'!AE203</f>
        <v>0</v>
      </c>
      <c r="K72" s="26" t="e">
        <f ca="1">'Skill Workbook'!AL203</f>
        <v>#N/A</v>
      </c>
      <c r="L72" s="32" t="str">
        <f>IF('Skill Workbook'!H203="","-",'Skill Workbook'!AK203)</f>
        <v>-</v>
      </c>
    </row>
    <row r="73" spans="1:12" x14ac:dyDescent="0.25">
      <c r="A73" s="21" t="str">
        <f>'Skill Workbook'!F83&amp;IF('Skill Workbook'!G83="",""," ("&amp;'Skill Workbook'!G83&amp;")")&amp;IF('Skill Workbook'!H83="",""," ("&amp;'Skill Workbook'!H83&amp;")")</f>
        <v>Leathercraft</v>
      </c>
      <c r="B73" s="1">
        <f>'Skill Workbook'!AE83</f>
        <v>0</v>
      </c>
      <c r="C73" s="26" t="e">
        <f ca="1">'Skill Workbook'!AL83</f>
        <v>#N/A</v>
      </c>
      <c r="D73" s="32" t="str">
        <f>IF('Skill Workbook'!H83="","-",'Skill Workbook'!AK83)</f>
        <v>-</v>
      </c>
      <c r="E73" s="21" t="str">
        <f>'Skill Workbook'!F141&amp;IF('Skill Workbook'!G141="",""," ("&amp;'Skill Workbook'!G141&amp;")")&amp;IF('Skill Workbook'!H141="",""," ("&amp;'Skill Workbook'!H141&amp;")")</f>
        <v>Acting</v>
      </c>
      <c r="F73" s="1">
        <f>'Skill Workbook'!AE141</f>
        <v>0</v>
      </c>
      <c r="G73" s="26" t="e">
        <f ca="1">'Skill Workbook'!AL141</f>
        <v>#N/A</v>
      </c>
      <c r="H73" s="32" t="str">
        <f>IF('Skill Workbook'!H141="","-",'Skill Workbook'!AK141)</f>
        <v>-</v>
      </c>
      <c r="I73" s="21" t="str">
        <f>'Skill Workbook'!F204&amp;IF('Skill Workbook'!G204="",""," ("&amp;'Skill Workbook'!G204&amp;")")&amp;IF('Skill Workbook'!H204="",""," ("&amp;'Skill Workbook'!H204&amp;")")</f>
        <v>Magical Ritual (Creation)</v>
      </c>
      <c r="J73" s="1">
        <f>'Skill Workbook'!AE204</f>
        <v>0</v>
      </c>
      <c r="K73" s="26" t="e">
        <f ca="1">'Skill Workbook'!AL204</f>
        <v>#N/A</v>
      </c>
      <c r="L73" s="32" t="str">
        <f>IF('Skill Workbook'!H204="","-",'Skill Workbook'!AK204)</f>
        <v>-</v>
      </c>
    </row>
    <row r="74" spans="1:12" x14ac:dyDescent="0.25">
      <c r="A74" s="21" t="str">
        <f>'Skill Workbook'!F84&amp;IF('Skill Workbook'!G84="",""," ("&amp;'Skill Workbook'!G84&amp;")")&amp;IF('Skill Workbook'!H84="",""," ("&amp;'Skill Workbook'!H84&amp;")")</f>
        <v>Metalcraft</v>
      </c>
      <c r="B74" s="1">
        <f>'Skill Workbook'!AE84</f>
        <v>0</v>
      </c>
      <c r="C74" s="26" t="e">
        <f ca="1">'Skill Workbook'!AL84</f>
        <v>#N/A</v>
      </c>
      <c r="D74" s="32" t="str">
        <f>IF('Skill Workbook'!H84="","-",'Skill Workbook'!AK84)</f>
        <v>-</v>
      </c>
      <c r="E74" s="21" t="str">
        <f>'Skill Workbook'!F142&amp;IF('Skill Workbook'!G142="",""," ("&amp;'Skill Workbook'!G142&amp;")")&amp;IF('Skill Workbook'!H142="",""," ("&amp;'Skill Workbook'!H142&amp;")")</f>
        <v>Music (Instrument 1)</v>
      </c>
      <c r="F74" s="1">
        <f>'Skill Workbook'!AE142</f>
        <v>0</v>
      </c>
      <c r="G74" s="26" t="e">
        <f ca="1">'Skill Workbook'!AL142</f>
        <v>#N/A</v>
      </c>
      <c r="H74" s="32" t="str">
        <f>IF('Skill Workbook'!H142="","-",'Skill Workbook'!AK142)</f>
        <v>-</v>
      </c>
      <c r="I74" s="21" t="str">
        <f>'Skill Workbook'!F205&amp;IF('Skill Workbook'!G205="",""," ("&amp;'Skill Workbook'!G205&amp;")")&amp;IF('Skill Workbook'!H205="",""," ("&amp;'Skill Workbook'!H205&amp;")")</f>
        <v>Magical Ritual (Defensive)</v>
      </c>
      <c r="J74" s="1">
        <f>'Skill Workbook'!AE205</f>
        <v>0</v>
      </c>
      <c r="K74" s="26" t="e">
        <f ca="1">'Skill Workbook'!AL205</f>
        <v>#N/A</v>
      </c>
      <c r="L74" s="32" t="str">
        <f>IF('Skill Workbook'!H205="","-",'Skill Workbook'!AK205)</f>
        <v>-</v>
      </c>
    </row>
    <row r="75" spans="1:12" x14ac:dyDescent="0.25">
      <c r="A75" s="21" t="str">
        <f>'Skill Workbook'!F85&amp;IF('Skill Workbook'!G85="",""," ("&amp;'Skill Workbook'!G85&amp;")")&amp;IF('Skill Workbook'!H85="",""," ("&amp;'Skill Workbook'!H85&amp;")")</f>
        <v>Stonecraft</v>
      </c>
      <c r="B75" s="1">
        <f>'Skill Workbook'!AE85</f>
        <v>0</v>
      </c>
      <c r="C75" s="26" t="e">
        <f ca="1">'Skill Workbook'!AL85</f>
        <v>#N/A</v>
      </c>
      <c r="D75" s="32" t="str">
        <f>IF('Skill Workbook'!H85="","-",'Skill Workbook'!AK85)</f>
        <v>-</v>
      </c>
      <c r="E75" s="21" t="str">
        <f>'Skill Workbook'!F143&amp;IF('Skill Workbook'!G143="",""," ("&amp;'Skill Workbook'!G143&amp;")")&amp;IF('Skill Workbook'!H143="",""," ("&amp;'Skill Workbook'!H143&amp;")")</f>
        <v>Music (Instrument 2)</v>
      </c>
      <c r="F75" s="1">
        <f>'Skill Workbook'!AE143</f>
        <v>0</v>
      </c>
      <c r="G75" s="26" t="e">
        <f ca="1">'Skill Workbook'!AL143</f>
        <v>#N/A</v>
      </c>
      <c r="H75" s="32" t="str">
        <f>IF('Skill Workbook'!H143="","-",'Skill Workbook'!AK143)</f>
        <v>-</v>
      </c>
      <c r="I75" s="21" t="str">
        <f>'Skill Workbook'!F206&amp;IF('Skill Workbook'!G206="",""," ("&amp;'Skill Workbook'!G206&amp;")")&amp;IF('Skill Workbook'!H206="",""," ("&amp;'Skill Workbook'!H206&amp;")")</f>
        <v>Magical Ritual (Destruction)</v>
      </c>
      <c r="J75" s="1">
        <f>'Skill Workbook'!AE206</f>
        <v>0</v>
      </c>
      <c r="K75" s="26" t="e">
        <f ca="1">'Skill Workbook'!AL206</f>
        <v>#N/A</v>
      </c>
      <c r="L75" s="32" t="str">
        <f>IF('Skill Workbook'!H206="","-",'Skill Workbook'!AK206)</f>
        <v>-</v>
      </c>
    </row>
    <row r="76" spans="1:12" ht="15.75" thickBot="1" x14ac:dyDescent="0.3">
      <c r="A76" s="23" t="str">
        <f>'Skill Workbook'!F86&amp;IF('Skill Workbook'!G86="",""," ("&amp;'Skill Workbook'!G86&amp;")")&amp;IF('Skill Workbook'!H86="",""," ("&amp;'Skill Workbook'!H86&amp;")")</f>
        <v>Woodcraft</v>
      </c>
      <c r="B76" s="24">
        <f>'Skill Workbook'!AE86</f>
        <v>0</v>
      </c>
      <c r="C76" s="27" t="e">
        <f ca="1">'Skill Workbook'!AL86</f>
        <v>#N/A</v>
      </c>
      <c r="D76" s="34" t="str">
        <f>IF('Skill Workbook'!H86="","-",'Skill Workbook'!AK86)</f>
        <v>-</v>
      </c>
      <c r="E76" s="21" t="str">
        <f>'Skill Workbook'!F144&amp;IF('Skill Workbook'!G144="",""," ("&amp;'Skill Workbook'!G144&amp;")")&amp;IF('Skill Workbook'!H144="",""," ("&amp;'Skill Workbook'!H144&amp;")")</f>
        <v>Music (Instrument 3)</v>
      </c>
      <c r="F76" s="1">
        <f>'Skill Workbook'!AE144</f>
        <v>0</v>
      </c>
      <c r="G76" s="26" t="e">
        <f ca="1">'Skill Workbook'!AL144</f>
        <v>#N/A</v>
      </c>
      <c r="H76" s="32" t="str">
        <f>IF('Skill Workbook'!H144="","-",'Skill Workbook'!AK144)</f>
        <v>-</v>
      </c>
      <c r="I76" s="21" t="str">
        <f>'Skill Workbook'!F207&amp;IF('Skill Workbook'!G207="",""," ("&amp;'Skill Workbook'!G207&amp;")")&amp;IF('Skill Workbook'!H207="",""," ("&amp;'Skill Workbook'!H207&amp;")")</f>
        <v>Magical Ritual (Elemental)</v>
      </c>
      <c r="J76" s="1">
        <f>'Skill Workbook'!AE207</f>
        <v>0</v>
      </c>
      <c r="K76" s="26" t="e">
        <f ca="1">'Skill Workbook'!AL207</f>
        <v>#N/A</v>
      </c>
      <c r="L76" s="32" t="str">
        <f>IF('Skill Workbook'!H207="","-",'Skill Workbook'!AK207)</f>
        <v>-</v>
      </c>
    </row>
    <row r="77" spans="1:12" ht="16.5" thickBot="1" x14ac:dyDescent="0.3">
      <c r="A77" s="575" t="s">
        <v>138</v>
      </c>
      <c r="B77" s="576"/>
      <c r="C77" s="576"/>
      <c r="D77" s="577"/>
      <c r="E77" s="23" t="str">
        <f>'Skill Workbook'!F145&amp;IF('Skill Workbook'!G145="",""," ("&amp;'Skill Workbook'!G145&amp;")")&amp;IF('Skill Workbook'!H145="",""," ("&amp;'Skill Workbook'!H145&amp;")")</f>
        <v>Stage Magic</v>
      </c>
      <c r="F77" s="24">
        <f>'Skill Workbook'!AE145</f>
        <v>0</v>
      </c>
      <c r="G77" s="27" t="e">
        <f ca="1">'Skill Workbook'!AL145</f>
        <v>#N/A</v>
      </c>
      <c r="H77" s="34" t="str">
        <f>IF('Skill Workbook'!H145="","-",'Skill Workbook'!AK145)</f>
        <v>-</v>
      </c>
      <c r="I77" s="21" t="str">
        <f>'Skill Workbook'!F208&amp;IF('Skill Workbook'!G208="",""," ("&amp;'Skill Workbook'!G208&amp;")")&amp;IF('Skill Workbook'!H208="",""," ("&amp;'Skill Workbook'!H208&amp;")")</f>
        <v>Magical Ritual (Healing)</v>
      </c>
      <c r="J77" s="1">
        <f>'Skill Workbook'!AE208</f>
        <v>0</v>
      </c>
      <c r="K77" s="26" t="e">
        <f ca="1">'Skill Workbook'!AL208</f>
        <v>#N/A</v>
      </c>
      <c r="L77" s="32" t="str">
        <f>IF('Skill Workbook'!H208="","-",'Skill Workbook'!AK208)</f>
        <v>-</v>
      </c>
    </row>
    <row r="78" spans="1:12" ht="15.75" x14ac:dyDescent="0.25">
      <c r="A78" s="21" t="str">
        <f>'Skill Workbook'!F87&amp;IF('Skill Workbook'!G87="",""," ("&amp;'Skill Workbook'!G87&amp;")")&amp;IF('Skill Workbook'!H87="",""," ("&amp;'Skill Workbook'!H87&amp;")")</f>
        <v>Attunement</v>
      </c>
      <c r="B78" s="1">
        <f>'Skill Workbook'!AE87</f>
        <v>0</v>
      </c>
      <c r="C78" s="26" t="e">
        <f ca="1">'Skill Workbook'!AL87</f>
        <v>#N/A</v>
      </c>
      <c r="D78" s="32" t="str">
        <f>IF('Skill Workbook'!H87="","-",'Skill Workbook'!AK87)</f>
        <v>-</v>
      </c>
      <c r="E78" s="575" t="s">
        <v>189</v>
      </c>
      <c r="F78" s="576"/>
      <c r="G78" s="576"/>
      <c r="H78" s="577"/>
      <c r="I78" s="21" t="str">
        <f>'Skill Workbook'!F209&amp;IF('Skill Workbook'!G209="",""," ("&amp;'Skill Workbook'!G209&amp;")")&amp;IF('Skill Workbook'!H209="",""," ("&amp;'Skill Workbook'!H209&amp;")")</f>
        <v>Magical Ritual (Informational)</v>
      </c>
      <c r="J78" s="1">
        <f>'Skill Workbook'!AE209</f>
        <v>0</v>
      </c>
      <c r="K78" s="26" t="e">
        <f ca="1">'Skill Workbook'!AL209</f>
        <v>#N/A</v>
      </c>
      <c r="L78" s="32" t="str">
        <f>IF('Skill Workbook'!H209="","-",'Skill Workbook'!AK209)</f>
        <v>-</v>
      </c>
    </row>
    <row r="79" spans="1:12" ht="15.75" thickBot="1" x14ac:dyDescent="0.3">
      <c r="A79" s="23" t="str">
        <f>'Skill Workbook'!F88&amp;IF('Skill Workbook'!G88="",""," ("&amp;'Skill Workbook'!G88&amp;")")&amp;IF('Skill Workbook'!H88="",""," ("&amp;'Skill Workbook'!H88&amp;")")</f>
        <v>Runes</v>
      </c>
      <c r="B79" s="24">
        <f>'Skill Workbook'!AE88</f>
        <v>0</v>
      </c>
      <c r="C79" s="27" t="e">
        <f ca="1">'Skill Workbook'!AL88</f>
        <v>#N/A</v>
      </c>
      <c r="D79" s="34" t="str">
        <f>IF('Skill Workbook'!H88="","-",'Skill Workbook'!AK88)</f>
        <v>-</v>
      </c>
      <c r="E79" s="21" t="str">
        <f>'Skill Workbook'!F146&amp;IF('Skill Workbook'!G146="",""," ("&amp;'Skill Workbook'!G146&amp;")")&amp;IF('Skill Workbook'!H146="",""," ("&amp;'Skill Workbook'!H146&amp;")")</f>
        <v>Channeling</v>
      </c>
      <c r="F79" s="1">
        <f>'Skill Workbook'!AE146</f>
        <v>0</v>
      </c>
      <c r="G79" s="26" t="e">
        <f ca="1">'Skill Workbook'!AL146</f>
        <v>#N/A</v>
      </c>
      <c r="H79" s="32" t="str">
        <f>IF('Skill Workbook'!H146="","-",'Skill Workbook'!AK146)</f>
        <v>-</v>
      </c>
      <c r="I79" s="23" t="str">
        <f>'Skill Workbook'!F210&amp;IF('Skill Workbook'!G210="",""," ("&amp;'Skill Workbook'!G210&amp;")")&amp;IF('Skill Workbook'!H210="",""," ("&amp;'Skill Workbook'!H210&amp;")")</f>
        <v>Magical Ritual (Summoning)</v>
      </c>
      <c r="J79" s="24">
        <f>'Skill Workbook'!AE210</f>
        <v>0</v>
      </c>
      <c r="K79" s="27" t="e">
        <f ca="1">'Skill Workbook'!AL210</f>
        <v>#N/A</v>
      </c>
      <c r="L79" s="34" t="str">
        <f>IF('Skill Workbook'!H210="","-",'Skill Workbook'!AK210)</f>
        <v>-</v>
      </c>
    </row>
    <row r="80" spans="1:12" x14ac:dyDescent="0.25">
      <c r="A80" s="578" t="s">
        <v>815</v>
      </c>
      <c r="B80" s="579"/>
      <c r="C80" s="579"/>
      <c r="D80" s="580"/>
      <c r="E80" s="21" t="str">
        <f>'Skill Workbook'!F147&amp;IF('Skill Workbook'!G147="",""," ("&amp;'Skill Workbook'!G147&amp;")")&amp;IF('Skill Workbook'!H147="",""," ("&amp;'Skill Workbook'!H147&amp;")")</f>
        <v>Directed Spells (Elemental Bolts)</v>
      </c>
      <c r="F80" s="1">
        <f>'Skill Workbook'!AE147</f>
        <v>0</v>
      </c>
      <c r="G80" s="26" t="e">
        <f ca="1">'Skill Workbook'!AL147</f>
        <v>#N/A</v>
      </c>
      <c r="H80" s="32" t="str">
        <f>IF('Skill Workbook'!H147="","-",'Skill Workbook'!AK147)</f>
        <v>-</v>
      </c>
    </row>
    <row r="81" spans="1:8" x14ac:dyDescent="0.25">
      <c r="A81" s="581"/>
      <c r="B81" s="382"/>
      <c r="C81" s="382"/>
      <c r="D81" s="421"/>
      <c r="E81" s="21" t="str">
        <f>'Skill Workbook'!F148&amp;IF('Skill Workbook'!G148="",""," ("&amp;'Skill Workbook'!G148&amp;")")&amp;IF('Skill Workbook'!H148="",""," ("&amp;'Skill Workbook'!H148&amp;")")</f>
        <v>Directed Spells (Illusionary Attacks)</v>
      </c>
      <c r="F81" s="1">
        <f>'Skill Workbook'!AE148</f>
        <v>0</v>
      </c>
      <c r="G81" s="26" t="e">
        <f ca="1">'Skill Workbook'!AL148</f>
        <v>#N/A</v>
      </c>
      <c r="H81" s="32" t="str">
        <f>IF('Skill Workbook'!H148="","-",'Skill Workbook'!AK148)</f>
        <v>-</v>
      </c>
    </row>
    <row r="82" spans="1:8" x14ac:dyDescent="0.25">
      <c r="A82" s="581"/>
      <c r="B82" s="382"/>
      <c r="C82" s="382"/>
      <c r="D82" s="421"/>
      <c r="E82" s="21" t="str">
        <f>'Skill Workbook'!F149&amp;IF('Skill Workbook'!G149="",""," ("&amp;'Skill Workbook'!G149&amp;")")&amp;IF('Skill Workbook'!H149="",""," ("&amp;'Skill Workbook'!H149&amp;")")</f>
        <v>Directed Spells (Hurling)</v>
      </c>
      <c r="F82" s="1">
        <f>'Skill Workbook'!AE149</f>
        <v>0</v>
      </c>
      <c r="G82" s="26" t="e">
        <f ca="1">'Skill Workbook'!AL149</f>
        <v>#N/A</v>
      </c>
      <c r="H82" s="32" t="str">
        <f>IF('Skill Workbook'!H149="","-",'Skill Workbook'!AK149)</f>
        <v>-</v>
      </c>
    </row>
    <row r="83" spans="1:8" x14ac:dyDescent="0.25">
      <c r="A83" s="581"/>
      <c r="B83" s="382"/>
      <c r="C83" s="382"/>
      <c r="D83" s="421"/>
      <c r="E83" s="21" t="str">
        <f>'Skill Workbook'!F150&amp;IF('Skill Workbook'!G150="",""," ("&amp;'Skill Workbook'!G150&amp;")")&amp;IF('Skill Workbook'!H150="",""," ("&amp;'Skill Workbook'!H150&amp;")")</f>
        <v>Power Development</v>
      </c>
      <c r="F83" s="1">
        <f>'Skill Workbook'!AE150</f>
        <v>0</v>
      </c>
      <c r="G83" s="26" t="e">
        <f ca="1">'Skill Workbook'!AL150</f>
        <v>#N/A</v>
      </c>
      <c r="H83" s="32" t="str">
        <f>IF('Skill Workbook'!H150="","-",'Skill Workbook'!AK150)</f>
        <v>-</v>
      </c>
    </row>
    <row r="84" spans="1:8" ht="15.75" thickBot="1" x14ac:dyDescent="0.3">
      <c r="A84" s="582"/>
      <c r="B84" s="425"/>
      <c r="C84" s="425"/>
      <c r="D84" s="426"/>
      <c r="E84" s="23" t="str">
        <f>'Skill Workbook'!F151&amp;IF('Skill Workbook'!G151="",""," ("&amp;'Skill Workbook'!G151&amp;")")&amp;IF('Skill Workbook'!H151="",""," ("&amp;'Skill Workbook'!H151&amp;")")</f>
        <v>Power Projection</v>
      </c>
      <c r="F84" s="24">
        <f>'Skill Workbook'!AE151</f>
        <v>0</v>
      </c>
      <c r="G84" s="27" t="e">
        <f ca="1">'Skill Workbook'!AL151</f>
        <v>#N/A</v>
      </c>
      <c r="H84" s="34" t="str">
        <f>IF('Skill Workbook'!H151="","-",'Skill Workbook'!AK151)</f>
        <v>-</v>
      </c>
    </row>
  </sheetData>
  <mergeCells count="38">
    <mergeCell ref="A80:D84"/>
    <mergeCell ref="A3:D3"/>
    <mergeCell ref="E3:H3"/>
    <mergeCell ref="I3:L3"/>
    <mergeCell ref="I33:L33"/>
    <mergeCell ref="I38:L38"/>
    <mergeCell ref="I42:L42"/>
    <mergeCell ref="I49:L49"/>
    <mergeCell ref="I60:L60"/>
    <mergeCell ref="I71:L71"/>
    <mergeCell ref="E67:H67"/>
    <mergeCell ref="E72:H72"/>
    <mergeCell ref="E78:H78"/>
    <mergeCell ref="I12:L12"/>
    <mergeCell ref="I17:L17"/>
    <mergeCell ref="I24:L24"/>
    <mergeCell ref="A69:D69"/>
    <mergeCell ref="E17:H17"/>
    <mergeCell ref="E21:H21"/>
    <mergeCell ref="E35:H35"/>
    <mergeCell ref="E52:H52"/>
    <mergeCell ref="E59:H59"/>
    <mergeCell ref="A1:L1"/>
    <mergeCell ref="N3:R8"/>
    <mergeCell ref="A77:D77"/>
    <mergeCell ref="E12:H12"/>
    <mergeCell ref="A22:D22"/>
    <mergeCell ref="A28:D28"/>
    <mergeCell ref="A33:D33"/>
    <mergeCell ref="A37:D37"/>
    <mergeCell ref="A43:D43"/>
    <mergeCell ref="A52:D52"/>
    <mergeCell ref="A12:D12"/>
    <mergeCell ref="A19:D19"/>
    <mergeCell ref="E63:H63"/>
    <mergeCell ref="A56:D56"/>
    <mergeCell ref="A62:D62"/>
    <mergeCell ref="A65:D65"/>
  </mergeCells>
  <printOptions horizontalCentered="1" verticalCentered="1"/>
  <pageMargins left="0.25" right="0.25" top="0.5" bottom="0.5" header="0.3" footer="0.3"/>
  <pageSetup scale="51" orientation="portrait" horizontalDpi="203" verticalDpi="20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5E255-3078-4EDE-BD33-0AE30BF6266E}">
  <sheetPr>
    <tabColor theme="7" tint="0.59999389629810485"/>
    <pageSetUpPr fitToPage="1"/>
  </sheetPr>
  <dimension ref="A1:AG91"/>
  <sheetViews>
    <sheetView zoomScaleNormal="100" workbookViewId="0">
      <selection activeCell="Z96" sqref="Z96"/>
    </sheetView>
  </sheetViews>
  <sheetFormatPr defaultRowHeight="15" x14ac:dyDescent="0.25"/>
  <cols>
    <col min="1" max="18" width="8.5703125" customWidth="1"/>
    <col min="19" max="19" width="11.140625" customWidth="1"/>
  </cols>
  <sheetData>
    <row r="1" spans="1:33" ht="21" x14ac:dyDescent="0.35">
      <c r="A1" s="704" t="s">
        <v>0</v>
      </c>
      <c r="B1" s="705"/>
      <c r="C1" s="705"/>
      <c r="D1" s="705"/>
      <c r="E1" s="705"/>
      <c r="F1" s="705"/>
      <c r="G1" s="705"/>
      <c r="H1" s="705"/>
      <c r="I1" s="705"/>
      <c r="J1" s="705"/>
      <c r="K1" s="705"/>
      <c r="L1" s="705"/>
      <c r="M1" s="705"/>
      <c r="N1" s="705"/>
      <c r="O1" s="705"/>
      <c r="P1" s="705"/>
      <c r="Q1" s="705"/>
      <c r="R1" s="705"/>
      <c r="S1" s="710" t="s">
        <v>811</v>
      </c>
      <c r="T1" s="711"/>
      <c r="U1" s="711"/>
      <c r="V1" s="712"/>
    </row>
    <row r="2" spans="1:33" x14ac:dyDescent="0.25">
      <c r="A2" s="706"/>
      <c r="B2" s="707"/>
      <c r="C2" s="707"/>
      <c r="D2" s="707"/>
      <c r="E2" s="707"/>
      <c r="F2" s="707"/>
      <c r="G2" s="707"/>
      <c r="H2" s="707"/>
      <c r="I2" s="707"/>
      <c r="J2" s="707"/>
      <c r="K2" s="707"/>
      <c r="L2" s="707"/>
      <c r="M2" s="707"/>
      <c r="N2" s="707"/>
      <c r="O2" s="707"/>
      <c r="P2" s="707"/>
      <c r="Q2" s="707"/>
      <c r="R2" s="707"/>
      <c r="S2" s="90" t="s">
        <v>808</v>
      </c>
      <c r="T2" s="41" t="s">
        <v>12</v>
      </c>
      <c r="U2" s="41" t="s">
        <v>809</v>
      </c>
      <c r="V2" s="131" t="s">
        <v>810</v>
      </c>
    </row>
    <row r="3" spans="1:33" ht="15.75" thickBot="1" x14ac:dyDescent="0.3">
      <c r="A3" s="706"/>
      <c r="B3" s="707"/>
      <c r="C3" s="707"/>
      <c r="D3" s="707"/>
      <c r="E3" s="707"/>
      <c r="F3" s="707"/>
      <c r="G3" s="707"/>
      <c r="H3" s="707"/>
      <c r="I3" s="707"/>
      <c r="J3" s="707"/>
      <c r="K3" s="707"/>
      <c r="L3" s="707"/>
      <c r="M3" s="707"/>
      <c r="N3" s="707"/>
      <c r="O3" s="707"/>
      <c r="P3" s="707"/>
      <c r="Q3" s="707"/>
      <c r="R3" s="707"/>
      <c r="S3" s="244" t="e">
        <f>MAX(0.15+2*ST/100,0)</f>
        <v>#N/A</v>
      </c>
      <c r="T3" s="245" t="e">
        <f t="shared" ref="T3:T40" si="0">(VLOOKUP(Race,Table_Race,IF(Gender="Male",24,25),FALSE))*S3</f>
        <v>#N/A</v>
      </c>
      <c r="U3" s="246" t="s">
        <v>405</v>
      </c>
      <c r="V3" s="37" t="s">
        <v>522</v>
      </c>
    </row>
    <row r="4" spans="1:33" x14ac:dyDescent="0.25">
      <c r="A4" s="706"/>
      <c r="B4" s="707"/>
      <c r="C4" s="707"/>
      <c r="D4" s="707"/>
      <c r="E4" s="707"/>
      <c r="F4" s="707"/>
      <c r="G4" s="707"/>
      <c r="H4" s="707"/>
      <c r="I4" s="707"/>
      <c r="J4" s="707"/>
      <c r="K4" s="707"/>
      <c r="L4" s="707"/>
      <c r="M4" s="707"/>
      <c r="N4" s="707"/>
      <c r="O4" s="707"/>
      <c r="P4" s="707"/>
      <c r="Q4" s="707"/>
      <c r="R4" s="707"/>
      <c r="S4" s="238" t="e">
        <f t="shared" ref="S4:S40" si="1">MAX(0.15+2*ST/100,0)-U4/100</f>
        <v>#N/A</v>
      </c>
      <c r="T4" s="239" t="e">
        <f t="shared" si="0"/>
        <v>#N/A</v>
      </c>
      <c r="U4" s="223">
        <v>-1</v>
      </c>
      <c r="V4" s="638" t="s">
        <v>523</v>
      </c>
    </row>
    <row r="5" spans="1:33" ht="15" customHeight="1" thickBot="1" x14ac:dyDescent="0.3">
      <c r="A5" s="708"/>
      <c r="B5" s="709"/>
      <c r="C5" s="709"/>
      <c r="D5" s="709"/>
      <c r="E5" s="709"/>
      <c r="F5" s="709"/>
      <c r="G5" s="709"/>
      <c r="H5" s="709"/>
      <c r="I5" s="709"/>
      <c r="J5" s="709"/>
      <c r="K5" s="709"/>
      <c r="L5" s="709"/>
      <c r="M5" s="709"/>
      <c r="N5" s="709"/>
      <c r="O5" s="709"/>
      <c r="P5" s="709"/>
      <c r="Q5" s="709"/>
      <c r="R5" s="709"/>
      <c r="S5" s="240" t="e">
        <f t="shared" si="1"/>
        <v>#N/A</v>
      </c>
      <c r="T5" s="241" t="e">
        <f t="shared" si="0"/>
        <v>#N/A</v>
      </c>
      <c r="U5" s="215">
        <v>-2</v>
      </c>
      <c r="V5" s="639"/>
    </row>
    <row r="6" spans="1:33" ht="15.75" customHeight="1" thickBot="1" x14ac:dyDescent="0.3">
      <c r="A6" s="646" t="s">
        <v>467</v>
      </c>
      <c r="B6" s="615" t="s">
        <v>469</v>
      </c>
      <c r="C6" s="615"/>
      <c r="D6" s="615"/>
      <c r="E6" s="615"/>
      <c r="F6" s="615"/>
      <c r="G6" s="615"/>
      <c r="H6" s="616"/>
      <c r="I6" s="646" t="s">
        <v>177</v>
      </c>
      <c r="J6" s="88" t="s">
        <v>33</v>
      </c>
      <c r="K6" s="615" t="s">
        <v>812</v>
      </c>
      <c r="L6" s="615"/>
      <c r="M6" s="615" t="s">
        <v>528</v>
      </c>
      <c r="N6" s="615"/>
      <c r="O6" s="634" t="s">
        <v>532</v>
      </c>
      <c r="P6" s="634"/>
      <c r="Q6" s="615" t="s">
        <v>534</v>
      </c>
      <c r="R6" s="615"/>
      <c r="S6" s="240" t="e">
        <f t="shared" si="1"/>
        <v>#N/A</v>
      </c>
      <c r="T6" s="241" t="e">
        <f t="shared" si="0"/>
        <v>#N/A</v>
      </c>
      <c r="U6" s="215">
        <v>-3</v>
      </c>
      <c r="V6" s="639"/>
    </row>
    <row r="7" spans="1:33" x14ac:dyDescent="0.25">
      <c r="A7" s="630"/>
      <c r="B7" s="647" t="e">
        <f>ROUND(QU*3,0)+Armor_DB</f>
        <v>#N/A</v>
      </c>
      <c r="C7" s="648"/>
      <c r="D7" s="649"/>
      <c r="E7" s="653" t="s">
        <v>470</v>
      </c>
      <c r="F7" s="102">
        <f>Running_Ranks</f>
        <v>0</v>
      </c>
      <c r="G7" s="643" t="s">
        <v>472</v>
      </c>
      <c r="H7" s="644"/>
      <c r="I7" s="630"/>
      <c r="J7" s="100" t="s">
        <v>34</v>
      </c>
      <c r="K7" s="504" t="e">
        <f>BMR/2</f>
        <v>#N/A</v>
      </c>
      <c r="L7" s="504"/>
      <c r="M7" s="504" t="s">
        <v>529</v>
      </c>
      <c r="N7" s="504"/>
      <c r="O7" s="659">
        <f ca="1">MIN(MAX((MAX(F74,0)+MMP),0),0)</f>
        <v>0</v>
      </c>
      <c r="P7" s="660"/>
      <c r="Q7" s="677" t="s">
        <v>94</v>
      </c>
      <c r="R7" s="506"/>
      <c r="S7" s="240" t="e">
        <f t="shared" si="1"/>
        <v>#N/A</v>
      </c>
      <c r="T7" s="241" t="e">
        <f t="shared" si="0"/>
        <v>#N/A</v>
      </c>
      <c r="U7" s="215">
        <v>-4</v>
      </c>
      <c r="V7" s="639"/>
    </row>
    <row r="8" spans="1:33" x14ac:dyDescent="0.25">
      <c r="A8" s="630"/>
      <c r="B8" s="650"/>
      <c r="C8" s="651"/>
      <c r="D8" s="652"/>
      <c r="E8" s="654"/>
      <c r="F8" s="103" t="e">
        <f ca="1">ROUND(0.5*Running,0)</f>
        <v>#N/A</v>
      </c>
      <c r="G8" s="609" t="s">
        <v>473</v>
      </c>
      <c r="H8" s="610"/>
      <c r="I8" s="630"/>
      <c r="J8" s="100" t="s">
        <v>35</v>
      </c>
      <c r="K8" s="504" t="e">
        <f>MROUND(Stride,5)</f>
        <v>#N/A</v>
      </c>
      <c r="L8" s="504"/>
      <c r="M8" s="504" t="s">
        <v>529</v>
      </c>
      <c r="N8" s="504"/>
      <c r="O8" s="659">
        <f ca="1">MIN(-25+MAX((MAX(F74,0)+MMP),0),0)</f>
        <v>-25</v>
      </c>
      <c r="P8" s="660"/>
      <c r="Q8" s="661" t="s">
        <v>405</v>
      </c>
      <c r="R8" s="662"/>
      <c r="S8" s="240" t="e">
        <f t="shared" si="1"/>
        <v>#N/A</v>
      </c>
      <c r="T8" s="241" t="e">
        <f t="shared" si="0"/>
        <v>#N/A</v>
      </c>
      <c r="U8" s="215">
        <v>-5</v>
      </c>
      <c r="V8" s="639"/>
    </row>
    <row r="9" spans="1:33" ht="15.75" thickBot="1" x14ac:dyDescent="0.3">
      <c r="A9" s="630"/>
      <c r="B9" s="650"/>
      <c r="C9" s="651"/>
      <c r="D9" s="652"/>
      <c r="E9" s="655"/>
      <c r="F9" s="104" t="e">
        <f ca="1">ROUND(Running,0)</f>
        <v>#N/A</v>
      </c>
      <c r="G9" s="641" t="s">
        <v>455</v>
      </c>
      <c r="H9" s="642"/>
      <c r="I9" s="630"/>
      <c r="J9" s="100" t="s">
        <v>36</v>
      </c>
      <c r="K9" s="504" t="e">
        <f>2*BMR</f>
        <v>#N/A</v>
      </c>
      <c r="L9" s="504"/>
      <c r="M9" s="504" t="s">
        <v>530</v>
      </c>
      <c r="N9" s="678"/>
      <c r="O9" s="659">
        <f ca="1">MIN(-50+MAX((MAX(F74,0)+MMP),0),0)</f>
        <v>-50</v>
      </c>
      <c r="P9" s="660"/>
      <c r="Q9" s="661" t="s">
        <v>535</v>
      </c>
      <c r="R9" s="662"/>
      <c r="S9" s="240" t="e">
        <f t="shared" si="1"/>
        <v>#N/A</v>
      </c>
      <c r="T9" s="241" t="e">
        <f t="shared" si="0"/>
        <v>#N/A</v>
      </c>
      <c r="U9" s="215">
        <v>-6</v>
      </c>
      <c r="V9" s="639"/>
    </row>
    <row r="10" spans="1:33" x14ac:dyDescent="0.25">
      <c r="A10" s="630"/>
      <c r="B10" s="650"/>
      <c r="C10" s="651"/>
      <c r="D10" s="652"/>
      <c r="E10" s="653" t="s">
        <v>471</v>
      </c>
      <c r="F10" s="105">
        <f>Shield_Ranks</f>
        <v>0</v>
      </c>
      <c r="G10" s="643" t="s">
        <v>472</v>
      </c>
      <c r="H10" s="644"/>
      <c r="I10" s="630"/>
      <c r="J10" s="100" t="s">
        <v>37</v>
      </c>
      <c r="K10" s="504" t="e">
        <f>3*BMR</f>
        <v>#N/A</v>
      </c>
      <c r="L10" s="504"/>
      <c r="M10" s="504" t="s">
        <v>531</v>
      </c>
      <c r="N10" s="504"/>
      <c r="O10" s="659">
        <f ca="1">MIN(-75+MAX((MAX(F74,0)+MMP),0),0)</f>
        <v>-75</v>
      </c>
      <c r="P10" s="660"/>
      <c r="Q10" s="661" t="s">
        <v>535</v>
      </c>
      <c r="R10" s="662"/>
      <c r="S10" s="240" t="e">
        <f t="shared" si="1"/>
        <v>#N/A</v>
      </c>
      <c r="T10" s="241" t="e">
        <f t="shared" si="0"/>
        <v>#N/A</v>
      </c>
      <c r="U10" s="215">
        <v>-7</v>
      </c>
      <c r="V10" s="639"/>
    </row>
    <row r="11" spans="1:33" x14ac:dyDescent="0.25">
      <c r="A11" s="630"/>
      <c r="B11" s="667" t="str">
        <f>"+"&amp;Shield_DB&amp;CHAR(10)
&amp;Shield_Uses&amp;" uses"</f>
        <v>+0
0 uses</v>
      </c>
      <c r="C11" s="665"/>
      <c r="D11" s="663"/>
      <c r="E11" s="654"/>
      <c r="F11" s="106" t="e">
        <f ca="1">ROUND(0.5*Shield,0)</f>
        <v>#N/A</v>
      </c>
      <c r="G11" s="609" t="s">
        <v>473</v>
      </c>
      <c r="H11" s="610"/>
      <c r="I11" s="630"/>
      <c r="J11" s="100" t="s">
        <v>38</v>
      </c>
      <c r="K11" s="504" t="e">
        <f>4*BMR</f>
        <v>#N/A</v>
      </c>
      <c r="L11" s="504"/>
      <c r="M11" s="504" t="s">
        <v>41</v>
      </c>
      <c r="N11" s="504"/>
      <c r="O11" s="670" t="s">
        <v>94</v>
      </c>
      <c r="P11" s="660"/>
      <c r="Q11" s="661" t="s">
        <v>536</v>
      </c>
      <c r="R11" s="662"/>
      <c r="S11" s="240" t="e">
        <f t="shared" si="1"/>
        <v>#N/A</v>
      </c>
      <c r="T11" s="241" t="e">
        <f t="shared" si="0"/>
        <v>#N/A</v>
      </c>
      <c r="U11" s="215">
        <v>-8</v>
      </c>
      <c r="V11" s="639"/>
    </row>
    <row r="12" spans="1:33" ht="15.75" thickBot="1" x14ac:dyDescent="0.3">
      <c r="A12" s="631"/>
      <c r="B12" s="668"/>
      <c r="C12" s="666"/>
      <c r="D12" s="664"/>
      <c r="E12" s="655"/>
      <c r="F12" s="107" t="e">
        <f ca="1">ROUND(Shield,0)</f>
        <v>#N/A</v>
      </c>
      <c r="G12" s="641" t="s">
        <v>455</v>
      </c>
      <c r="H12" s="642"/>
      <c r="I12" s="631"/>
      <c r="J12" s="100" t="s">
        <v>39</v>
      </c>
      <c r="K12" s="669" t="e">
        <f>5*BMR</f>
        <v>#N/A</v>
      </c>
      <c r="L12" s="669"/>
      <c r="M12" s="669" t="s">
        <v>42</v>
      </c>
      <c r="N12" s="669"/>
      <c r="O12" s="670" t="s">
        <v>94</v>
      </c>
      <c r="P12" s="660"/>
      <c r="Q12" s="671" t="s">
        <v>94</v>
      </c>
      <c r="R12" s="672"/>
      <c r="S12" s="240" t="e">
        <f t="shared" si="1"/>
        <v>#N/A</v>
      </c>
      <c r="T12" s="241" t="e">
        <f t="shared" si="0"/>
        <v>#N/A</v>
      </c>
      <c r="U12" s="215">
        <v>-9</v>
      </c>
      <c r="V12" s="639"/>
    </row>
    <row r="13" spans="1:33" ht="15.75" thickBot="1" x14ac:dyDescent="0.3">
      <c r="A13" s="646" t="s">
        <v>468</v>
      </c>
      <c r="B13" s="96" t="s">
        <v>596</v>
      </c>
      <c r="C13" s="658" t="s">
        <v>559</v>
      </c>
      <c r="D13" s="658"/>
      <c r="E13" s="71" t="s">
        <v>76</v>
      </c>
      <c r="F13" s="95" t="s">
        <v>289</v>
      </c>
      <c r="G13" s="657" t="s">
        <v>597</v>
      </c>
      <c r="H13" s="658"/>
      <c r="I13" s="71" t="s">
        <v>404</v>
      </c>
      <c r="J13" s="71" t="s">
        <v>402</v>
      </c>
      <c r="K13" s="71" t="s">
        <v>598</v>
      </c>
      <c r="L13" s="634" t="s">
        <v>599</v>
      </c>
      <c r="M13" s="634"/>
      <c r="N13" s="634" t="s">
        <v>600</v>
      </c>
      <c r="O13" s="634"/>
      <c r="P13" s="71" t="s">
        <v>31</v>
      </c>
      <c r="Q13" s="658" t="s">
        <v>403</v>
      </c>
      <c r="R13" s="673"/>
      <c r="S13" s="240" t="e">
        <f t="shared" si="1"/>
        <v>#N/A</v>
      </c>
      <c r="T13" s="241" t="e">
        <f t="shared" si="0"/>
        <v>#N/A</v>
      </c>
      <c r="U13" s="215">
        <v>-10</v>
      </c>
      <c r="V13" s="639"/>
    </row>
    <row r="14" spans="1:33" x14ac:dyDescent="0.25">
      <c r="A14" s="630"/>
      <c r="B14" s="656" t="s">
        <v>116</v>
      </c>
      <c r="C14" s="703" t="s">
        <v>415</v>
      </c>
      <c r="D14" s="675"/>
      <c r="E14" s="70">
        <f>'Skill Workbook'!AE59</f>
        <v>0</v>
      </c>
      <c r="F14" s="247" t="e">
        <f ca="1">'Skill Workbook'!AL59</f>
        <v>#N/A</v>
      </c>
      <c r="G14" s="533"/>
      <c r="H14" s="524"/>
      <c r="I14" s="5" t="str">
        <f t="shared" ref="I14:I23" si="2">IF($G14="","",VLOOKUP($G14,Weapon_Table,2,TRUE))</f>
        <v/>
      </c>
      <c r="J14" s="5" t="str">
        <f t="shared" ref="J14:J23" si="3">IF($G14="","",VLOOKUP($G14,Weapon_Table,3,TRUE))</f>
        <v/>
      </c>
      <c r="K14" s="5" t="str">
        <f t="shared" ref="K14:K23" si="4">IF($G14="","",VLOOKUP($G14,Weapon_Table,4,TRUE))</f>
        <v/>
      </c>
      <c r="L14" s="506" t="str">
        <f t="shared" ref="L14:L23" si="5">IF($G14="","",VLOOKUP($G14,Weapon_Table,5,TRUE))</f>
        <v/>
      </c>
      <c r="M14" s="508"/>
      <c r="N14" s="506" t="str">
        <f t="shared" ref="N14:N23" si="6">IF($G14="","",VLOOKUP($G14,Weapon_Table,6,TRUE))</f>
        <v/>
      </c>
      <c r="O14" s="508"/>
      <c r="P14" s="5" t="str">
        <f t="shared" ref="P14:P23" si="7">IF($G14="","",VLOOKUP($G14,Weapon_Table,7,TRUE))</f>
        <v/>
      </c>
      <c r="Q14" s="609" t="str">
        <f t="shared" ref="Q14:Q23" si="8">IF($G14="","",VLOOKUP($G14,Weapon_Table,8,TRUE))</f>
        <v/>
      </c>
      <c r="R14" s="610"/>
      <c r="S14" s="240" t="e">
        <f t="shared" si="1"/>
        <v>#N/A</v>
      </c>
      <c r="T14" s="241" t="e">
        <f t="shared" si="0"/>
        <v>#N/A</v>
      </c>
      <c r="U14" s="215">
        <v>-11</v>
      </c>
      <c r="V14" s="639"/>
      <c r="X14" s="444" t="s">
        <v>977</v>
      </c>
      <c r="Y14" s="453"/>
      <c r="Z14" s="453"/>
      <c r="AA14" s="453"/>
      <c r="AB14" s="453"/>
      <c r="AC14" s="453"/>
      <c r="AD14" s="453"/>
      <c r="AE14" s="453"/>
      <c r="AF14" s="453"/>
      <c r="AG14" s="454"/>
    </row>
    <row r="15" spans="1:33" x14ac:dyDescent="0.25">
      <c r="A15" s="630"/>
      <c r="B15" s="656"/>
      <c r="C15" s="692" t="s">
        <v>416</v>
      </c>
      <c r="D15" s="609"/>
      <c r="E15" s="5">
        <f>'Skill Workbook'!AE60</f>
        <v>0</v>
      </c>
      <c r="F15" s="108" t="e">
        <f ca="1">'Skill Workbook'!AL60</f>
        <v>#N/A</v>
      </c>
      <c r="G15" s="533"/>
      <c r="H15" s="524"/>
      <c r="I15" s="5" t="str">
        <f t="shared" si="2"/>
        <v/>
      </c>
      <c r="J15" s="5" t="str">
        <f t="shared" si="3"/>
        <v/>
      </c>
      <c r="K15" s="5" t="str">
        <f t="shared" si="4"/>
        <v/>
      </c>
      <c r="L15" s="506" t="str">
        <f t="shared" si="5"/>
        <v/>
      </c>
      <c r="M15" s="508"/>
      <c r="N15" s="506" t="str">
        <f t="shared" si="6"/>
        <v/>
      </c>
      <c r="O15" s="508"/>
      <c r="P15" s="5" t="str">
        <f t="shared" si="7"/>
        <v/>
      </c>
      <c r="Q15" s="609" t="str">
        <f t="shared" si="8"/>
        <v/>
      </c>
      <c r="R15" s="610"/>
      <c r="S15" s="240" t="e">
        <f t="shared" si="1"/>
        <v>#N/A</v>
      </c>
      <c r="T15" s="241" t="e">
        <f t="shared" si="0"/>
        <v>#N/A</v>
      </c>
      <c r="U15" s="215">
        <v>-12</v>
      </c>
      <c r="V15" s="639"/>
      <c r="X15" s="455"/>
      <c r="Y15" s="456"/>
      <c r="Z15" s="456"/>
      <c r="AA15" s="456"/>
      <c r="AB15" s="456"/>
      <c r="AC15" s="456"/>
      <c r="AD15" s="456"/>
      <c r="AE15" s="456"/>
      <c r="AF15" s="456"/>
      <c r="AG15" s="457"/>
    </row>
    <row r="16" spans="1:33" x14ac:dyDescent="0.25">
      <c r="A16" s="630"/>
      <c r="B16" s="656"/>
      <c r="C16" s="692" t="s">
        <v>417</v>
      </c>
      <c r="D16" s="609"/>
      <c r="E16" s="5">
        <f>'Skill Workbook'!AE61</f>
        <v>0</v>
      </c>
      <c r="F16" s="108" t="e">
        <f ca="1">'Skill Workbook'!AL61</f>
        <v>#N/A</v>
      </c>
      <c r="G16" s="533"/>
      <c r="H16" s="524"/>
      <c r="I16" s="5" t="str">
        <f t="shared" si="2"/>
        <v/>
      </c>
      <c r="J16" s="5" t="str">
        <f t="shared" si="3"/>
        <v/>
      </c>
      <c r="K16" s="5" t="str">
        <f t="shared" si="4"/>
        <v/>
      </c>
      <c r="L16" s="506" t="str">
        <f t="shared" si="5"/>
        <v/>
      </c>
      <c r="M16" s="508"/>
      <c r="N16" s="506" t="str">
        <f t="shared" si="6"/>
        <v/>
      </c>
      <c r="O16" s="508"/>
      <c r="P16" s="5" t="str">
        <f t="shared" si="7"/>
        <v/>
      </c>
      <c r="Q16" s="609" t="str">
        <f t="shared" si="8"/>
        <v/>
      </c>
      <c r="R16" s="610"/>
      <c r="S16" s="240" t="e">
        <f t="shared" si="1"/>
        <v>#N/A</v>
      </c>
      <c r="T16" s="241" t="e">
        <f t="shared" si="0"/>
        <v>#N/A</v>
      </c>
      <c r="U16" s="215">
        <v>-13</v>
      </c>
      <c r="V16" s="639"/>
      <c r="X16" s="455"/>
      <c r="Y16" s="456"/>
      <c r="Z16" s="456"/>
      <c r="AA16" s="456"/>
      <c r="AB16" s="456"/>
      <c r="AC16" s="456"/>
      <c r="AD16" s="456"/>
      <c r="AE16" s="456"/>
      <c r="AF16" s="456"/>
      <c r="AG16" s="457"/>
    </row>
    <row r="17" spans="1:33" x14ac:dyDescent="0.25">
      <c r="A17" s="630"/>
      <c r="B17" s="656"/>
      <c r="C17" s="692" t="s">
        <v>418</v>
      </c>
      <c r="D17" s="609"/>
      <c r="E17" s="5">
        <f>'Skill Workbook'!AE62</f>
        <v>0</v>
      </c>
      <c r="F17" s="108" t="e">
        <f ca="1">'Skill Workbook'!AL62</f>
        <v>#N/A</v>
      </c>
      <c r="G17" s="533"/>
      <c r="H17" s="524"/>
      <c r="I17" s="5" t="str">
        <f t="shared" si="2"/>
        <v/>
      </c>
      <c r="J17" s="5" t="str">
        <f t="shared" si="3"/>
        <v/>
      </c>
      <c r="K17" s="5" t="str">
        <f t="shared" si="4"/>
        <v/>
      </c>
      <c r="L17" s="506" t="str">
        <f t="shared" si="5"/>
        <v/>
      </c>
      <c r="M17" s="508"/>
      <c r="N17" s="506" t="str">
        <f t="shared" si="6"/>
        <v/>
      </c>
      <c r="O17" s="508"/>
      <c r="P17" s="5" t="str">
        <f t="shared" si="7"/>
        <v/>
      </c>
      <c r="Q17" s="609" t="str">
        <f t="shared" si="8"/>
        <v/>
      </c>
      <c r="R17" s="610"/>
      <c r="S17" s="240" t="e">
        <f t="shared" si="1"/>
        <v>#N/A</v>
      </c>
      <c r="T17" s="241" t="e">
        <f t="shared" si="0"/>
        <v>#N/A</v>
      </c>
      <c r="U17" s="215">
        <v>-14</v>
      </c>
      <c r="V17" s="639"/>
      <c r="X17" s="455"/>
      <c r="Y17" s="456"/>
      <c r="Z17" s="456"/>
      <c r="AA17" s="456"/>
      <c r="AB17" s="456"/>
      <c r="AC17" s="456"/>
      <c r="AD17" s="456"/>
      <c r="AE17" s="456"/>
      <c r="AF17" s="456"/>
      <c r="AG17" s="457"/>
    </row>
    <row r="18" spans="1:33" ht="15.75" thickBot="1" x14ac:dyDescent="0.3">
      <c r="A18" s="630"/>
      <c r="B18" s="656"/>
      <c r="C18" s="692" t="s">
        <v>419</v>
      </c>
      <c r="D18" s="609"/>
      <c r="E18" s="5">
        <f>'Skill Workbook'!AE63</f>
        <v>0</v>
      </c>
      <c r="F18" s="108" t="e">
        <f ca="1">'Skill Workbook'!AL63</f>
        <v>#N/A</v>
      </c>
      <c r="G18" s="533"/>
      <c r="H18" s="524"/>
      <c r="I18" s="5" t="str">
        <f t="shared" si="2"/>
        <v/>
      </c>
      <c r="J18" s="5" t="str">
        <f t="shared" si="3"/>
        <v/>
      </c>
      <c r="K18" s="5" t="str">
        <f t="shared" si="4"/>
        <v/>
      </c>
      <c r="L18" s="506" t="str">
        <f t="shared" si="5"/>
        <v/>
      </c>
      <c r="M18" s="508"/>
      <c r="N18" s="506" t="str">
        <f t="shared" si="6"/>
        <v/>
      </c>
      <c r="O18" s="508"/>
      <c r="P18" s="5" t="str">
        <f t="shared" si="7"/>
        <v/>
      </c>
      <c r="Q18" s="609" t="str">
        <f t="shared" si="8"/>
        <v/>
      </c>
      <c r="R18" s="610"/>
      <c r="S18" s="242" t="e">
        <f t="shared" si="1"/>
        <v>#N/A</v>
      </c>
      <c r="T18" s="243" t="e">
        <f t="shared" si="0"/>
        <v>#N/A</v>
      </c>
      <c r="U18" s="135">
        <v>-15</v>
      </c>
      <c r="V18" s="640"/>
      <c r="X18" s="455"/>
      <c r="Y18" s="456"/>
      <c r="Z18" s="456"/>
      <c r="AA18" s="456"/>
      <c r="AB18" s="456"/>
      <c r="AC18" s="456"/>
      <c r="AD18" s="456"/>
      <c r="AE18" s="456"/>
      <c r="AF18" s="456"/>
      <c r="AG18" s="457"/>
    </row>
    <row r="19" spans="1:33" ht="15.75" thickBot="1" x14ac:dyDescent="0.3">
      <c r="A19" s="630"/>
      <c r="B19" s="656"/>
      <c r="C19" s="692" t="s">
        <v>420</v>
      </c>
      <c r="D19" s="609"/>
      <c r="E19" s="5">
        <f>'Skill Workbook'!AE64</f>
        <v>0</v>
      </c>
      <c r="F19" s="108" t="e">
        <f ca="1">'Skill Workbook'!AL64</f>
        <v>#N/A</v>
      </c>
      <c r="G19" s="533"/>
      <c r="H19" s="524"/>
      <c r="I19" s="5" t="str">
        <f t="shared" si="2"/>
        <v/>
      </c>
      <c r="J19" s="5" t="str">
        <f t="shared" si="3"/>
        <v/>
      </c>
      <c r="K19" s="5" t="str">
        <f t="shared" si="4"/>
        <v/>
      </c>
      <c r="L19" s="506" t="str">
        <f t="shared" si="5"/>
        <v/>
      </c>
      <c r="M19" s="508"/>
      <c r="N19" s="506" t="str">
        <f t="shared" si="6"/>
        <v/>
      </c>
      <c r="O19" s="508"/>
      <c r="P19" s="5" t="str">
        <f t="shared" si="7"/>
        <v/>
      </c>
      <c r="Q19" s="609" t="str">
        <f t="shared" si="8"/>
        <v/>
      </c>
      <c r="R19" s="610"/>
      <c r="S19" s="238" t="e">
        <f t="shared" si="1"/>
        <v>#N/A</v>
      </c>
      <c r="T19" s="239" t="e">
        <f t="shared" si="0"/>
        <v>#N/A</v>
      </c>
      <c r="U19" s="223">
        <v>-16</v>
      </c>
      <c r="V19" s="638" t="s">
        <v>524</v>
      </c>
      <c r="X19" s="458"/>
      <c r="Y19" s="459"/>
      <c r="Z19" s="459"/>
      <c r="AA19" s="459"/>
      <c r="AB19" s="459"/>
      <c r="AC19" s="459"/>
      <c r="AD19" s="459"/>
      <c r="AE19" s="459"/>
      <c r="AF19" s="459"/>
      <c r="AG19" s="460"/>
    </row>
    <row r="20" spans="1:33" x14ac:dyDescent="0.25">
      <c r="A20" s="630"/>
      <c r="B20" s="656"/>
      <c r="C20" s="692" t="s">
        <v>421</v>
      </c>
      <c r="D20" s="609"/>
      <c r="E20" s="5">
        <f>'Skill Workbook'!AE65</f>
        <v>0</v>
      </c>
      <c r="F20" s="108" t="e">
        <f ca="1">'Skill Workbook'!AL65</f>
        <v>#N/A</v>
      </c>
      <c r="G20" s="533"/>
      <c r="H20" s="524"/>
      <c r="I20" s="5" t="str">
        <f t="shared" si="2"/>
        <v/>
      </c>
      <c r="J20" s="5" t="str">
        <f t="shared" si="3"/>
        <v/>
      </c>
      <c r="K20" s="5" t="str">
        <f t="shared" si="4"/>
        <v/>
      </c>
      <c r="L20" s="506" t="str">
        <f t="shared" si="5"/>
        <v/>
      </c>
      <c r="M20" s="508"/>
      <c r="N20" s="506" t="str">
        <f t="shared" si="6"/>
        <v/>
      </c>
      <c r="O20" s="508"/>
      <c r="P20" s="5" t="str">
        <f t="shared" si="7"/>
        <v/>
      </c>
      <c r="Q20" s="609" t="str">
        <f t="shared" si="8"/>
        <v/>
      </c>
      <c r="R20" s="610"/>
      <c r="S20" s="240" t="e">
        <f t="shared" si="1"/>
        <v>#N/A</v>
      </c>
      <c r="T20" s="241" t="e">
        <f t="shared" si="0"/>
        <v>#N/A</v>
      </c>
      <c r="U20" s="215">
        <v>-17</v>
      </c>
      <c r="V20" s="639"/>
    </row>
    <row r="21" spans="1:33" x14ac:dyDescent="0.25">
      <c r="A21" s="630"/>
      <c r="B21" s="656"/>
      <c r="C21" s="688" t="s">
        <v>422</v>
      </c>
      <c r="D21" s="689"/>
      <c r="E21" s="248">
        <f>'Skill Workbook'!AE66</f>
        <v>0</v>
      </c>
      <c r="F21" s="249" t="e">
        <f ca="1">'Skill Workbook'!AL66</f>
        <v>#N/A</v>
      </c>
      <c r="G21" s="533"/>
      <c r="H21" s="524"/>
      <c r="I21" s="5" t="str">
        <f t="shared" si="2"/>
        <v/>
      </c>
      <c r="J21" s="5" t="str">
        <f t="shared" si="3"/>
        <v/>
      </c>
      <c r="K21" s="5" t="str">
        <f t="shared" si="4"/>
        <v/>
      </c>
      <c r="L21" s="506" t="str">
        <f t="shared" si="5"/>
        <v/>
      </c>
      <c r="M21" s="508"/>
      <c r="N21" s="506" t="str">
        <f t="shared" si="6"/>
        <v/>
      </c>
      <c r="O21" s="508"/>
      <c r="P21" s="5" t="str">
        <f t="shared" si="7"/>
        <v/>
      </c>
      <c r="Q21" s="609" t="str">
        <f t="shared" si="8"/>
        <v/>
      </c>
      <c r="R21" s="610"/>
      <c r="S21" s="240" t="e">
        <f t="shared" si="1"/>
        <v>#N/A</v>
      </c>
      <c r="T21" s="241" t="e">
        <f t="shared" si="0"/>
        <v>#N/A</v>
      </c>
      <c r="U21" s="215">
        <v>-18</v>
      </c>
      <c r="V21" s="639"/>
    </row>
    <row r="22" spans="1:33" x14ac:dyDescent="0.25">
      <c r="A22" s="630"/>
      <c r="B22" s="701" t="s">
        <v>117</v>
      </c>
      <c r="C22" s="690" t="s">
        <v>428</v>
      </c>
      <c r="D22" s="691"/>
      <c r="E22" s="250">
        <f>'Skill Workbook'!AE67</f>
        <v>0</v>
      </c>
      <c r="F22" s="251" t="e">
        <f ca="1">'Skill Workbook'!AL67</f>
        <v>#N/A</v>
      </c>
      <c r="G22" s="533"/>
      <c r="H22" s="524"/>
      <c r="I22" s="5" t="str">
        <f t="shared" si="2"/>
        <v/>
      </c>
      <c r="J22" s="5" t="str">
        <f t="shared" si="3"/>
        <v/>
      </c>
      <c r="K22" s="5" t="str">
        <f t="shared" si="4"/>
        <v/>
      </c>
      <c r="L22" s="506" t="str">
        <f t="shared" si="5"/>
        <v/>
      </c>
      <c r="M22" s="508"/>
      <c r="N22" s="506" t="str">
        <f t="shared" si="6"/>
        <v/>
      </c>
      <c r="O22" s="508"/>
      <c r="P22" s="5" t="str">
        <f t="shared" si="7"/>
        <v/>
      </c>
      <c r="Q22" s="609" t="str">
        <f t="shared" si="8"/>
        <v/>
      </c>
      <c r="R22" s="610"/>
      <c r="S22" s="240" t="e">
        <f t="shared" si="1"/>
        <v>#N/A</v>
      </c>
      <c r="T22" s="241" t="e">
        <f t="shared" si="0"/>
        <v>#N/A</v>
      </c>
      <c r="U22" s="215">
        <v>-19</v>
      </c>
      <c r="V22" s="639"/>
    </row>
    <row r="23" spans="1:33" ht="15.75" thickBot="1" x14ac:dyDescent="0.3">
      <c r="A23" s="630"/>
      <c r="B23" s="656"/>
      <c r="C23" s="692" t="s">
        <v>429</v>
      </c>
      <c r="D23" s="609"/>
      <c r="E23" s="5">
        <f>'Skill Workbook'!AE68</f>
        <v>0</v>
      </c>
      <c r="F23" s="108" t="e">
        <f ca="1">'Skill Workbook'!AL68</f>
        <v>#N/A</v>
      </c>
      <c r="G23" s="556"/>
      <c r="H23" s="528"/>
      <c r="I23" s="69" t="str">
        <f t="shared" si="2"/>
        <v/>
      </c>
      <c r="J23" s="69" t="str">
        <f t="shared" si="3"/>
        <v/>
      </c>
      <c r="K23" s="69" t="str">
        <f t="shared" si="4"/>
        <v/>
      </c>
      <c r="L23" s="537" t="str">
        <f t="shared" si="5"/>
        <v/>
      </c>
      <c r="M23" s="550"/>
      <c r="N23" s="537" t="str">
        <f t="shared" si="6"/>
        <v/>
      </c>
      <c r="O23" s="550"/>
      <c r="P23" s="69" t="str">
        <f t="shared" si="7"/>
        <v/>
      </c>
      <c r="Q23" s="641" t="str">
        <f t="shared" si="8"/>
        <v/>
      </c>
      <c r="R23" s="642"/>
      <c r="S23" s="240" t="e">
        <f t="shared" si="1"/>
        <v>#N/A</v>
      </c>
      <c r="T23" s="241" t="e">
        <f t="shared" si="0"/>
        <v>#N/A</v>
      </c>
      <c r="U23" s="215">
        <v>-20</v>
      </c>
      <c r="V23" s="639"/>
    </row>
    <row r="24" spans="1:33" x14ac:dyDescent="0.25">
      <c r="A24" s="630"/>
      <c r="B24" s="702"/>
      <c r="C24" s="688" t="s">
        <v>407</v>
      </c>
      <c r="D24" s="689"/>
      <c r="E24" s="248">
        <f>'Skill Workbook'!AE69</f>
        <v>0</v>
      </c>
      <c r="F24" s="249" t="e">
        <f ca="1">'Skill Workbook'!AL69</f>
        <v>#N/A</v>
      </c>
      <c r="G24" s="714" t="s">
        <v>601</v>
      </c>
      <c r="H24" s="715"/>
      <c r="I24" s="715"/>
      <c r="J24" s="715"/>
      <c r="K24" s="716"/>
      <c r="L24" s="717"/>
      <c r="M24" s="717"/>
      <c r="N24" s="717"/>
      <c r="O24" s="717"/>
      <c r="P24" s="717"/>
      <c r="Q24" s="717"/>
      <c r="R24" s="718"/>
      <c r="S24" s="240" t="e">
        <f t="shared" si="1"/>
        <v>#N/A</v>
      </c>
      <c r="T24" s="241" t="e">
        <f t="shared" si="0"/>
        <v>#N/A</v>
      </c>
      <c r="U24" s="215">
        <v>-21</v>
      </c>
      <c r="V24" s="639"/>
    </row>
    <row r="25" spans="1:33" ht="15" customHeight="1" x14ac:dyDescent="0.25">
      <c r="A25" s="630"/>
      <c r="B25" s="701" t="s">
        <v>118</v>
      </c>
      <c r="C25" s="690" t="s">
        <v>423</v>
      </c>
      <c r="D25" s="691"/>
      <c r="E25" s="250">
        <f>'Skill Workbook'!AE70</f>
        <v>0</v>
      </c>
      <c r="F25" s="251" t="e">
        <f ca="1">'Skill Workbook'!AL70</f>
        <v>#N/A</v>
      </c>
      <c r="G25" s="98" t="s">
        <v>603</v>
      </c>
      <c r="H25" s="606" t="s">
        <v>602</v>
      </c>
      <c r="I25" s="606"/>
      <c r="J25" s="74" t="s">
        <v>614</v>
      </c>
      <c r="K25" s="719"/>
      <c r="L25" s="720"/>
      <c r="M25" s="720"/>
      <c r="N25" s="720"/>
      <c r="O25" s="720"/>
      <c r="P25" s="720"/>
      <c r="Q25" s="720"/>
      <c r="R25" s="721"/>
      <c r="S25" s="240" t="e">
        <f t="shared" si="1"/>
        <v>#N/A</v>
      </c>
      <c r="T25" s="241" t="e">
        <f t="shared" si="0"/>
        <v>#N/A</v>
      </c>
      <c r="U25" s="215">
        <v>-22</v>
      </c>
      <c r="V25" s="639"/>
    </row>
    <row r="26" spans="1:33" ht="15" customHeight="1" x14ac:dyDescent="0.25">
      <c r="A26" s="630"/>
      <c r="B26" s="656"/>
      <c r="C26" s="692" t="s">
        <v>424</v>
      </c>
      <c r="D26" s="609"/>
      <c r="E26" s="5">
        <f>'Skill Workbook'!AE71</f>
        <v>0</v>
      </c>
      <c r="F26" s="108" t="e">
        <f ca="1">'Skill Workbook'!AL71</f>
        <v>#N/A</v>
      </c>
      <c r="G26" s="98" t="s">
        <v>405</v>
      </c>
      <c r="H26" s="606" t="s">
        <v>605</v>
      </c>
      <c r="I26" s="606"/>
      <c r="J26" s="74" t="s">
        <v>609</v>
      </c>
      <c r="K26" s="719"/>
      <c r="L26" s="720"/>
      <c r="M26" s="720"/>
      <c r="N26" s="720"/>
      <c r="O26" s="720"/>
      <c r="P26" s="720"/>
      <c r="Q26" s="720"/>
      <c r="R26" s="721"/>
      <c r="S26" s="240" t="e">
        <f t="shared" si="1"/>
        <v>#N/A</v>
      </c>
      <c r="T26" s="241" t="e">
        <f t="shared" si="0"/>
        <v>#N/A</v>
      </c>
      <c r="U26" s="215">
        <v>-23</v>
      </c>
      <c r="V26" s="639"/>
    </row>
    <row r="27" spans="1:33" ht="15.75" customHeight="1" x14ac:dyDescent="0.25">
      <c r="A27" s="630"/>
      <c r="B27" s="656"/>
      <c r="C27" s="692" t="s">
        <v>425</v>
      </c>
      <c r="D27" s="609"/>
      <c r="E27" s="5">
        <f>'Skill Workbook'!AE72</f>
        <v>0</v>
      </c>
      <c r="F27" s="108" t="e">
        <f ca="1">'Skill Workbook'!AL72</f>
        <v>#N/A</v>
      </c>
      <c r="G27" s="10">
        <v>-10</v>
      </c>
      <c r="H27" s="606" t="s">
        <v>604</v>
      </c>
      <c r="I27" s="606"/>
      <c r="J27" s="74" t="s">
        <v>610</v>
      </c>
      <c r="K27" s="719"/>
      <c r="L27" s="720"/>
      <c r="M27" s="720"/>
      <c r="N27" s="720"/>
      <c r="O27" s="720"/>
      <c r="P27" s="720"/>
      <c r="Q27" s="720"/>
      <c r="R27" s="721"/>
      <c r="S27" s="240" t="e">
        <f t="shared" si="1"/>
        <v>#N/A</v>
      </c>
      <c r="T27" s="241" t="e">
        <f t="shared" si="0"/>
        <v>#N/A</v>
      </c>
      <c r="U27" s="215">
        <v>-24</v>
      </c>
      <c r="V27" s="639"/>
    </row>
    <row r="28" spans="1:33" x14ac:dyDescent="0.25">
      <c r="A28" s="630"/>
      <c r="B28" s="656"/>
      <c r="C28" s="692" t="s">
        <v>426</v>
      </c>
      <c r="D28" s="609"/>
      <c r="E28" s="5">
        <f>'Skill Workbook'!AE73</f>
        <v>0</v>
      </c>
      <c r="F28" s="108" t="e">
        <f ca="1">'Skill Workbook'!AL73</f>
        <v>#N/A</v>
      </c>
      <c r="G28" s="10">
        <v>-25</v>
      </c>
      <c r="H28" s="606" t="s">
        <v>606</v>
      </c>
      <c r="I28" s="606"/>
      <c r="J28" s="74" t="s">
        <v>611</v>
      </c>
      <c r="K28" s="719"/>
      <c r="L28" s="720"/>
      <c r="M28" s="720"/>
      <c r="N28" s="720"/>
      <c r="O28" s="720"/>
      <c r="P28" s="720"/>
      <c r="Q28" s="720"/>
      <c r="R28" s="721"/>
      <c r="S28" s="240" t="e">
        <f t="shared" si="1"/>
        <v>#N/A</v>
      </c>
      <c r="T28" s="241" t="e">
        <f t="shared" si="0"/>
        <v>#N/A</v>
      </c>
      <c r="U28" s="215">
        <v>-25</v>
      </c>
      <c r="V28" s="639"/>
    </row>
    <row r="29" spans="1:33" x14ac:dyDescent="0.25">
      <c r="A29" s="630"/>
      <c r="B29" s="702"/>
      <c r="C29" s="688" t="s">
        <v>422</v>
      </c>
      <c r="D29" s="689"/>
      <c r="E29" s="248">
        <f>'Skill Workbook'!AE74</f>
        <v>0</v>
      </c>
      <c r="F29" s="249" t="e">
        <f ca="1">'Skill Workbook'!AL74</f>
        <v>#N/A</v>
      </c>
      <c r="G29" s="10">
        <v>-50</v>
      </c>
      <c r="H29" s="606" t="s">
        <v>607</v>
      </c>
      <c r="I29" s="606"/>
      <c r="J29" s="74" t="s">
        <v>612</v>
      </c>
      <c r="K29" s="719"/>
      <c r="L29" s="720"/>
      <c r="M29" s="720"/>
      <c r="N29" s="720"/>
      <c r="O29" s="720"/>
      <c r="P29" s="720"/>
      <c r="Q29" s="720"/>
      <c r="R29" s="721"/>
      <c r="S29" s="240" t="e">
        <f t="shared" si="1"/>
        <v>#N/A</v>
      </c>
      <c r="T29" s="241" t="e">
        <f t="shared" si="0"/>
        <v>#N/A</v>
      </c>
      <c r="U29" s="215">
        <v>-26</v>
      </c>
      <c r="V29" s="639"/>
    </row>
    <row r="30" spans="1:33" ht="15.75" thickBot="1" x14ac:dyDescent="0.3">
      <c r="A30" s="631"/>
      <c r="B30" s="101" t="s">
        <v>53</v>
      </c>
      <c r="C30" s="488" t="s">
        <v>53</v>
      </c>
      <c r="D30" s="488"/>
      <c r="E30" s="12">
        <f>'Skill Workbook'!AE75</f>
        <v>0</v>
      </c>
      <c r="F30" s="126" t="e">
        <f ca="1">'Skill Workbook'!AL75</f>
        <v>#N/A</v>
      </c>
      <c r="G30" s="63">
        <v>-100</v>
      </c>
      <c r="H30" s="713" t="s">
        <v>608</v>
      </c>
      <c r="I30" s="713"/>
      <c r="J30" s="12" t="s">
        <v>613</v>
      </c>
      <c r="K30" s="722"/>
      <c r="L30" s="723"/>
      <c r="M30" s="723"/>
      <c r="N30" s="723"/>
      <c r="O30" s="723"/>
      <c r="P30" s="723"/>
      <c r="Q30" s="723"/>
      <c r="R30" s="724"/>
      <c r="S30" s="240" t="e">
        <f t="shared" si="1"/>
        <v>#N/A</v>
      </c>
      <c r="T30" s="241" t="e">
        <f t="shared" si="0"/>
        <v>#N/A</v>
      </c>
      <c r="U30" s="215">
        <v>-27</v>
      </c>
      <c r="V30" s="639"/>
    </row>
    <row r="31" spans="1:33" x14ac:dyDescent="0.25">
      <c r="A31" s="614" t="s">
        <v>58</v>
      </c>
      <c r="B31" s="615"/>
      <c r="C31" s="616"/>
      <c r="D31" s="614" t="s">
        <v>47</v>
      </c>
      <c r="E31" s="615"/>
      <c r="F31" s="616"/>
      <c r="G31" s="614" t="s">
        <v>46</v>
      </c>
      <c r="H31" s="615"/>
      <c r="I31" s="615"/>
      <c r="J31" s="615"/>
      <c r="K31" s="615"/>
      <c r="L31" s="616"/>
      <c r="M31" s="614" t="s">
        <v>538</v>
      </c>
      <c r="N31" s="615"/>
      <c r="O31" s="615"/>
      <c r="P31" s="615"/>
      <c r="Q31" s="615"/>
      <c r="R31" s="616"/>
      <c r="S31" s="240" t="e">
        <f t="shared" si="1"/>
        <v>#N/A</v>
      </c>
      <c r="T31" s="241" t="e">
        <f t="shared" si="0"/>
        <v>#N/A</v>
      </c>
      <c r="U31" s="215">
        <v>-28</v>
      </c>
      <c r="V31" s="639"/>
    </row>
    <row r="32" spans="1:33" x14ac:dyDescent="0.25">
      <c r="A32" s="485" t="s">
        <v>60</v>
      </c>
      <c r="B32" s="486"/>
      <c r="C32" s="32" t="e">
        <f>RR_Channeling</f>
        <v>#N/A</v>
      </c>
      <c r="D32" s="90" t="s">
        <v>289</v>
      </c>
      <c r="E32" s="617" t="e">
        <f ca="1">Bonus_Endurance+Body_Development</f>
        <v>#N/A</v>
      </c>
      <c r="F32" s="618"/>
      <c r="G32" s="90" t="s">
        <v>48</v>
      </c>
      <c r="H32" s="606" t="e">
        <f ca="1">MAX(ROUND(Body_Development*IF(Size="Small",0.75,IF(Size="Big",1.5,1))+VLOOKUP(Race,Table_Race,18,FALSE),0),10)</f>
        <v>#N/A</v>
      </c>
      <c r="I32" s="606"/>
      <c r="J32" s="100" t="s">
        <v>474</v>
      </c>
      <c r="K32" s="74" t="e">
        <f ca="1">MIN(-(Body_Development),0)</f>
        <v>#N/A</v>
      </c>
      <c r="L32" s="237" t="s">
        <v>804</v>
      </c>
      <c r="M32" s="90" t="s">
        <v>48</v>
      </c>
      <c r="N32" s="606" t="e">
        <f ca="1">MAX(ROUND(Power_Development,0),0)</f>
        <v>#N/A</v>
      </c>
      <c r="O32" s="606"/>
      <c r="P32" s="100"/>
      <c r="Q32" s="74"/>
      <c r="R32" s="237" t="s">
        <v>804</v>
      </c>
      <c r="S32" s="240" t="e">
        <f t="shared" si="1"/>
        <v>#N/A</v>
      </c>
      <c r="T32" s="241" t="e">
        <f t="shared" si="0"/>
        <v>#N/A</v>
      </c>
      <c r="U32" s="215">
        <v>-29</v>
      </c>
      <c r="V32" s="639"/>
    </row>
    <row r="33" spans="1:22" ht="15.75" thickBot="1" x14ac:dyDescent="0.3">
      <c r="A33" s="485" t="s">
        <v>61</v>
      </c>
      <c r="B33" s="486"/>
      <c r="C33" s="32" t="e">
        <f>RR_Essence</f>
        <v>#N/A</v>
      </c>
      <c r="D33" s="619" t="s">
        <v>475</v>
      </c>
      <c r="E33" s="620"/>
      <c r="F33" s="621"/>
      <c r="G33" s="626" t="e">
        <f ca="1">REPT("OOOOO-",(H32*0.25)/5)&amp;REPT("O",ROUND((MOD(H32,20))/4,0))</f>
        <v>#N/A</v>
      </c>
      <c r="H33" s="627"/>
      <c r="I33" s="627"/>
      <c r="J33" s="627"/>
      <c r="K33" s="627"/>
      <c r="L33" s="727">
        <v>-10</v>
      </c>
      <c r="M33" s="730" t="e">
        <f ca="1">REPT("OOOOO-",(N32*0.25)/5)&amp;REPT("O",ROUND((MOD(N32,20))/4,0))</f>
        <v>#N/A</v>
      </c>
      <c r="N33" s="731"/>
      <c r="O33" s="731"/>
      <c r="P33" s="731"/>
      <c r="Q33" s="731"/>
      <c r="R33" s="727">
        <v>-10</v>
      </c>
      <c r="S33" s="242" t="e">
        <f t="shared" si="1"/>
        <v>#N/A</v>
      </c>
      <c r="T33" s="243" t="e">
        <f t="shared" si="0"/>
        <v>#N/A</v>
      </c>
      <c r="U33" s="135">
        <v>-30</v>
      </c>
      <c r="V33" s="640"/>
    </row>
    <row r="34" spans="1:22" x14ac:dyDescent="0.25">
      <c r="A34" s="485" t="s">
        <v>62</v>
      </c>
      <c r="B34" s="486"/>
      <c r="C34" s="32" t="e">
        <f>RR_Mentalism</f>
        <v>#N/A</v>
      </c>
      <c r="D34" s="581" t="s">
        <v>547</v>
      </c>
      <c r="E34" s="382"/>
      <c r="F34" s="421"/>
      <c r="G34" s="628"/>
      <c r="H34" s="629"/>
      <c r="I34" s="629"/>
      <c r="J34" s="629"/>
      <c r="K34" s="629"/>
      <c r="L34" s="728"/>
      <c r="M34" s="732"/>
      <c r="N34" s="733"/>
      <c r="O34" s="733"/>
      <c r="P34" s="733"/>
      <c r="Q34" s="733"/>
      <c r="R34" s="728"/>
      <c r="S34" s="238" t="e">
        <f t="shared" si="1"/>
        <v>#N/A</v>
      </c>
      <c r="T34" s="239" t="e">
        <f t="shared" si="0"/>
        <v>#N/A</v>
      </c>
      <c r="U34" s="223">
        <v>-31</v>
      </c>
      <c r="V34" s="638" t="s">
        <v>525</v>
      </c>
    </row>
    <row r="35" spans="1:22" x14ac:dyDescent="0.25">
      <c r="A35" s="485" t="s">
        <v>63</v>
      </c>
      <c r="B35" s="486"/>
      <c r="C35" s="32" t="e">
        <f>RR_Physical</f>
        <v>#N/A</v>
      </c>
      <c r="D35" s="611" t="s">
        <v>547</v>
      </c>
      <c r="E35" s="612"/>
      <c r="F35" s="613"/>
      <c r="G35" s="628" t="e">
        <f ca="1">REPT("OOOOO-",(H32*0.25)/5)&amp;REPT("O",ROUND(((MOD(H32,20))-ROUND((MOD(H32,20))/4,0))/3,0))</f>
        <v>#N/A</v>
      </c>
      <c r="H35" s="629"/>
      <c r="I35" s="629"/>
      <c r="J35" s="629"/>
      <c r="K35" s="629"/>
      <c r="L35" s="728">
        <v>-20</v>
      </c>
      <c r="M35" s="732"/>
      <c r="N35" s="733"/>
      <c r="O35" s="733"/>
      <c r="P35" s="733"/>
      <c r="Q35" s="733"/>
      <c r="R35" s="728"/>
      <c r="S35" s="240" t="e">
        <f t="shared" si="1"/>
        <v>#N/A</v>
      </c>
      <c r="T35" s="241" t="e">
        <f t="shared" si="0"/>
        <v>#N/A</v>
      </c>
      <c r="U35" s="215">
        <v>-32</v>
      </c>
      <c r="V35" s="639"/>
    </row>
    <row r="36" spans="1:22" ht="15.75" thickBot="1" x14ac:dyDescent="0.3">
      <c r="A36" s="487" t="s">
        <v>64</v>
      </c>
      <c r="B36" s="488"/>
      <c r="C36" s="34" t="e">
        <f>RR_Fear</f>
        <v>#N/A</v>
      </c>
      <c r="D36" s="622" t="s">
        <v>586</v>
      </c>
      <c r="E36" s="623"/>
      <c r="F36" s="624"/>
      <c r="G36" s="628"/>
      <c r="H36" s="629"/>
      <c r="I36" s="629"/>
      <c r="J36" s="629"/>
      <c r="K36" s="629"/>
      <c r="L36" s="728"/>
      <c r="M36" s="732" t="e">
        <f ca="1">REPT("OOOOO-",(N32*0.25)/5)&amp;REPT("O",ROUND(((MOD(N32,20))-ROUND((MOD(N32,20))/4,0))/3,0))</f>
        <v>#N/A</v>
      </c>
      <c r="N36" s="733"/>
      <c r="O36" s="733"/>
      <c r="P36" s="733"/>
      <c r="Q36" s="733"/>
      <c r="R36" s="728">
        <v>-20</v>
      </c>
      <c r="S36" s="240" t="e">
        <f t="shared" si="1"/>
        <v>#N/A</v>
      </c>
      <c r="T36" s="241" t="e">
        <f t="shared" si="0"/>
        <v>#N/A</v>
      </c>
      <c r="U36" s="215">
        <v>-33</v>
      </c>
      <c r="V36" s="639"/>
    </row>
    <row r="37" spans="1:22" ht="15.75" customHeight="1" x14ac:dyDescent="0.25">
      <c r="A37" s="614" t="s">
        <v>40</v>
      </c>
      <c r="B37" s="615"/>
      <c r="C37" s="616"/>
      <c r="D37" s="695" t="s">
        <v>36</v>
      </c>
      <c r="E37" s="696"/>
      <c r="F37" s="11" t="s">
        <v>589</v>
      </c>
      <c r="G37" s="628" t="e">
        <f ca="1">REPT("OOOOO-",(H32*0.25)/5)&amp;REPT("O",ROUND((MOD(H32,20)-ROUND((MOD(H32,20))/4,0)-ROUND(((MOD(H32,20))-ROUND((MOD(H32,20))/4,0))/3,0))/2,0))</f>
        <v>#N/A</v>
      </c>
      <c r="H37" s="629"/>
      <c r="I37" s="629"/>
      <c r="J37" s="629"/>
      <c r="K37" s="629"/>
      <c r="L37" s="728">
        <v>-30</v>
      </c>
      <c r="M37" s="732"/>
      <c r="N37" s="733"/>
      <c r="O37" s="733"/>
      <c r="P37" s="733"/>
      <c r="Q37" s="733"/>
      <c r="R37" s="728"/>
      <c r="S37" s="240" t="e">
        <f t="shared" si="1"/>
        <v>#N/A</v>
      </c>
      <c r="T37" s="241" t="e">
        <f t="shared" si="0"/>
        <v>#N/A</v>
      </c>
      <c r="U37" s="215">
        <v>-34</v>
      </c>
      <c r="V37" s="639"/>
    </row>
    <row r="38" spans="1:22" ht="15" customHeight="1" x14ac:dyDescent="0.25">
      <c r="A38" s="739" t="e">
        <f>"2d10+"&amp;ROUND(QU,0)</f>
        <v>#N/A</v>
      </c>
      <c r="B38" s="740"/>
      <c r="C38" s="741"/>
      <c r="D38" s="695" t="s">
        <v>37</v>
      </c>
      <c r="E38" s="696"/>
      <c r="F38" s="11" t="s">
        <v>590</v>
      </c>
      <c r="G38" s="628"/>
      <c r="H38" s="629"/>
      <c r="I38" s="629"/>
      <c r="J38" s="629"/>
      <c r="K38" s="629"/>
      <c r="L38" s="728"/>
      <c r="M38" s="732"/>
      <c r="N38" s="733"/>
      <c r="O38" s="733"/>
      <c r="P38" s="733"/>
      <c r="Q38" s="733"/>
      <c r="R38" s="728"/>
      <c r="S38" s="240" t="e">
        <f t="shared" si="1"/>
        <v>#N/A</v>
      </c>
      <c r="T38" s="241" t="e">
        <f t="shared" si="0"/>
        <v>#N/A</v>
      </c>
      <c r="U38" s="215">
        <v>-35</v>
      </c>
      <c r="V38" s="639"/>
    </row>
    <row r="39" spans="1:22" ht="15" customHeight="1" x14ac:dyDescent="0.25">
      <c r="A39" s="739"/>
      <c r="B39" s="740"/>
      <c r="C39" s="741"/>
      <c r="D39" s="695" t="s">
        <v>38</v>
      </c>
      <c r="E39" s="696"/>
      <c r="F39" s="11" t="s">
        <v>574</v>
      </c>
      <c r="G39" s="628" t="e">
        <f ca="1">REPT("OOOOO-",(H32*0.25)/5)&amp;REPT("O",ROUND((MOD(H32,20)-ROUND((MOD(H32,20))/4,0)-ROUND(((MOD(H32,20))-ROUND((MOD(H32,20))/4,0))/3,0)-ROUND((MOD(H32,20)-ROUND((MOD(H32,20))/4,0)-ROUND(((MOD(H32,20))-ROUND((MOD(H32,20))/4,0))/3,0))/2,0)),0))</f>
        <v>#N/A</v>
      </c>
      <c r="H39" s="629"/>
      <c r="I39" s="629"/>
      <c r="J39" s="629"/>
      <c r="K39" s="629"/>
      <c r="L39" s="728" t="s">
        <v>805</v>
      </c>
      <c r="M39" s="732" t="e">
        <f ca="1">REPT("OOOOO-",(N32*0.25)/5)&amp;REPT("O",ROUND((MOD(N32,20)-ROUND((MOD(N32,20))/4,0)-ROUND(((MOD(N32,20))-ROUND((MOD(N32,20))/4,0))/3,0))/2,0))</f>
        <v>#N/A</v>
      </c>
      <c r="N39" s="733"/>
      <c r="O39" s="733"/>
      <c r="P39" s="733"/>
      <c r="Q39" s="733"/>
      <c r="R39" s="728">
        <v>-30</v>
      </c>
      <c r="S39" s="240" t="e">
        <f t="shared" si="1"/>
        <v>#N/A</v>
      </c>
      <c r="T39" s="241" t="e">
        <f t="shared" si="0"/>
        <v>#N/A</v>
      </c>
      <c r="U39" s="215">
        <v>-36</v>
      </c>
      <c r="V39" s="639"/>
    </row>
    <row r="40" spans="1:22" ht="15.75" thickBot="1" x14ac:dyDescent="0.3">
      <c r="A40" s="742"/>
      <c r="B40" s="743"/>
      <c r="C40" s="744"/>
      <c r="D40" s="695" t="s">
        <v>39</v>
      </c>
      <c r="E40" s="696"/>
      <c r="F40" s="11" t="s">
        <v>577</v>
      </c>
      <c r="G40" s="725"/>
      <c r="H40" s="726"/>
      <c r="I40" s="726"/>
      <c r="J40" s="726"/>
      <c r="K40" s="726"/>
      <c r="L40" s="729"/>
      <c r="M40" s="732"/>
      <c r="N40" s="733"/>
      <c r="O40" s="733"/>
      <c r="P40" s="733"/>
      <c r="Q40" s="733"/>
      <c r="R40" s="728"/>
      <c r="S40" s="240" t="e">
        <f t="shared" si="1"/>
        <v>#N/A</v>
      </c>
      <c r="T40" s="241" t="e">
        <f t="shared" si="0"/>
        <v>#N/A</v>
      </c>
      <c r="U40" s="215">
        <v>-37</v>
      </c>
      <c r="V40" s="639"/>
    </row>
    <row r="41" spans="1:22" x14ac:dyDescent="0.25">
      <c r="A41" s="614" t="s">
        <v>533</v>
      </c>
      <c r="B41" s="615"/>
      <c r="C41" s="616"/>
      <c r="D41" s="695" t="s">
        <v>587</v>
      </c>
      <c r="E41" s="696"/>
      <c r="F41" s="11" t="s">
        <v>591</v>
      </c>
      <c r="G41" s="626" t="e">
        <f ca="1">REPT("OOOOO-",Body_Development/5)&amp;REPT("O",MOD(Body_Development,5))</f>
        <v>#N/A</v>
      </c>
      <c r="H41" s="627"/>
      <c r="I41" s="627"/>
      <c r="J41" s="627"/>
      <c r="K41" s="627"/>
      <c r="L41" s="727" t="s">
        <v>806</v>
      </c>
      <c r="M41" s="732"/>
      <c r="N41" s="733"/>
      <c r="O41" s="733"/>
      <c r="P41" s="733"/>
      <c r="Q41" s="733"/>
      <c r="R41" s="728"/>
      <c r="S41" s="240" t="e">
        <f t="shared" ref="S41:S78" si="9">MAX(0.15+2*ST/100,0)-U41/100</f>
        <v>#N/A</v>
      </c>
      <c r="T41" s="241" t="e">
        <f t="shared" ref="T41:T78" si="10">(VLOOKUP(Race,Table_Race,IF(Gender="Male",24,25),FALSE))*S41</f>
        <v>#N/A</v>
      </c>
      <c r="U41" s="215">
        <v>-38</v>
      </c>
      <c r="V41" s="639"/>
    </row>
    <row r="42" spans="1:22" x14ac:dyDescent="0.25">
      <c r="A42" s="745">
        <f ca="1">(MIN(Main!J36+MAX('Skill Workbook'!AL26,0),0))</f>
        <v>0</v>
      </c>
      <c r="B42" s="746"/>
      <c r="C42" s="747"/>
      <c r="D42" s="695" t="s">
        <v>178</v>
      </c>
      <c r="E42" s="696"/>
      <c r="F42" s="11" t="s">
        <v>591</v>
      </c>
      <c r="G42" s="628"/>
      <c r="H42" s="629"/>
      <c r="I42" s="629"/>
      <c r="J42" s="629"/>
      <c r="K42" s="629"/>
      <c r="L42" s="728"/>
      <c r="M42" s="732" t="e">
        <f ca="1">REPT("OOOOO-",(N32*0.25)/5)&amp;REPT("O",ROUND((MOD(N32,20)-ROUND((MOD(N32,20))/4,0)-ROUND(((MOD(N32,20))-ROUND((MOD(N32,20))/4,0))/3,0)-ROUND((MOD(N32,20)-ROUND((MOD(N32,20))/4,0)-ROUND(((MOD(N32,20))-ROUND((MOD(N32,20))/4,0))/3,0))/2,0)),0))</f>
        <v>#N/A</v>
      </c>
      <c r="N42" s="733"/>
      <c r="O42" s="733"/>
      <c r="P42" s="733"/>
      <c r="Q42" s="733"/>
      <c r="R42" s="728" t="s">
        <v>807</v>
      </c>
      <c r="S42" s="240" t="e">
        <f t="shared" si="9"/>
        <v>#N/A</v>
      </c>
      <c r="T42" s="241" t="e">
        <f t="shared" si="10"/>
        <v>#N/A</v>
      </c>
      <c r="U42" s="215">
        <v>-39</v>
      </c>
      <c r="V42" s="639"/>
    </row>
    <row r="43" spans="1:22" x14ac:dyDescent="0.25">
      <c r="A43" s="745"/>
      <c r="B43" s="746"/>
      <c r="C43" s="747"/>
      <c r="D43" s="695" t="s">
        <v>181</v>
      </c>
      <c r="E43" s="696"/>
      <c r="F43" s="11" t="s">
        <v>591</v>
      </c>
      <c r="G43" s="628"/>
      <c r="H43" s="629"/>
      <c r="I43" s="629"/>
      <c r="J43" s="629"/>
      <c r="K43" s="629"/>
      <c r="L43" s="728"/>
      <c r="M43" s="732"/>
      <c r="N43" s="733"/>
      <c r="O43" s="733"/>
      <c r="P43" s="733"/>
      <c r="Q43" s="733"/>
      <c r="R43" s="728"/>
      <c r="S43" s="240" t="e">
        <f t="shared" si="9"/>
        <v>#N/A</v>
      </c>
      <c r="T43" s="241" t="e">
        <f t="shared" si="10"/>
        <v>#N/A</v>
      </c>
      <c r="U43" s="215">
        <v>-40</v>
      </c>
      <c r="V43" s="639"/>
    </row>
    <row r="44" spans="1:22" ht="15" customHeight="1" thickBot="1" x14ac:dyDescent="0.3">
      <c r="A44" s="748"/>
      <c r="B44" s="749"/>
      <c r="C44" s="750"/>
      <c r="D44" s="697" t="s">
        <v>588</v>
      </c>
      <c r="E44" s="698"/>
      <c r="F44" s="25" t="s">
        <v>591</v>
      </c>
      <c r="G44" s="737"/>
      <c r="H44" s="738"/>
      <c r="I44" s="738"/>
      <c r="J44" s="738"/>
      <c r="K44" s="738"/>
      <c r="L44" s="736"/>
      <c r="M44" s="734"/>
      <c r="N44" s="735"/>
      <c r="O44" s="735"/>
      <c r="P44" s="735"/>
      <c r="Q44" s="735"/>
      <c r="R44" s="736"/>
      <c r="S44" s="240" t="e">
        <f t="shared" si="9"/>
        <v>#N/A</v>
      </c>
      <c r="T44" s="241" t="e">
        <f t="shared" si="10"/>
        <v>#N/A</v>
      </c>
      <c r="U44" s="215">
        <v>-41</v>
      </c>
      <c r="V44" s="639"/>
    </row>
    <row r="45" spans="1:22" ht="15" customHeight="1" thickBot="1" x14ac:dyDescent="0.3">
      <c r="A45" s="614" t="s">
        <v>539</v>
      </c>
      <c r="B45" s="615"/>
      <c r="C45" s="615"/>
      <c r="D45" s="615"/>
      <c r="E45" s="615"/>
      <c r="F45" s="616"/>
      <c r="G45" s="614" t="s">
        <v>496</v>
      </c>
      <c r="H45" s="615"/>
      <c r="I45" s="615"/>
      <c r="J45" s="615"/>
      <c r="K45" s="615"/>
      <c r="L45" s="615"/>
      <c r="M45" s="615"/>
      <c r="N45" s="615"/>
      <c r="O45" s="615"/>
      <c r="P45" s="615"/>
      <c r="Q45" s="615"/>
      <c r="R45" s="616"/>
      <c r="S45" s="240" t="e">
        <f t="shared" si="9"/>
        <v>#N/A</v>
      </c>
      <c r="T45" s="241" t="e">
        <f t="shared" si="10"/>
        <v>#N/A</v>
      </c>
      <c r="U45" s="215">
        <v>-42</v>
      </c>
      <c r="V45" s="639"/>
    </row>
    <row r="46" spans="1:22" ht="15.75" customHeight="1" thickBot="1" x14ac:dyDescent="0.3">
      <c r="A46" s="485" t="s">
        <v>543</v>
      </c>
      <c r="B46" s="486"/>
      <c r="C46" s="486"/>
      <c r="D46" s="28" t="e">
        <f>IF(Race="",1,1/(VLOOKUP(Race,Table_Race,19,FALSE)))</f>
        <v>#N/A</v>
      </c>
      <c r="E46" s="74" t="s">
        <v>527</v>
      </c>
      <c r="F46" s="91" t="s">
        <v>48</v>
      </c>
      <c r="G46" s="682" t="s">
        <v>511</v>
      </c>
      <c r="H46" s="683"/>
      <c r="I46" s="683"/>
      <c r="J46" s="680" t="s">
        <v>497</v>
      </c>
      <c r="K46" s="680"/>
      <c r="L46" s="680"/>
      <c r="M46" s="680"/>
      <c r="N46" s="680"/>
      <c r="O46" s="680"/>
      <c r="P46" s="680"/>
      <c r="Q46" s="680"/>
      <c r="R46" s="681"/>
      <c r="S46" s="240" t="e">
        <f t="shared" si="9"/>
        <v>#N/A</v>
      </c>
      <c r="T46" s="241" t="e">
        <f t="shared" si="10"/>
        <v>#N/A</v>
      </c>
      <c r="U46" s="215">
        <v>-43</v>
      </c>
      <c r="V46" s="639"/>
    </row>
    <row r="47" spans="1:22" ht="15.75" customHeight="1" x14ac:dyDescent="0.25">
      <c r="A47" s="485" t="s">
        <v>540</v>
      </c>
      <c r="B47" s="486"/>
      <c r="C47" s="486"/>
      <c r="D47" s="1" t="e">
        <f ca="1">TEXT(0.05*HP/Recovery,"+0.0")</f>
        <v>#N/A</v>
      </c>
      <c r="E47" t="s">
        <v>544</v>
      </c>
      <c r="F47" s="92" t="s">
        <v>406</v>
      </c>
      <c r="G47" s="632" t="s">
        <v>498</v>
      </c>
      <c r="H47" s="635" t="s">
        <v>559</v>
      </c>
      <c r="I47" s="635"/>
      <c r="J47" s="635" t="s">
        <v>289</v>
      </c>
      <c r="K47" s="635"/>
      <c r="L47" s="635" t="s">
        <v>548</v>
      </c>
      <c r="M47" s="635"/>
      <c r="N47" s="635" t="s">
        <v>549</v>
      </c>
      <c r="O47" s="635"/>
      <c r="P47" s="635" t="s">
        <v>550</v>
      </c>
      <c r="Q47" s="635"/>
      <c r="R47" s="685"/>
      <c r="S47" s="240" t="e">
        <f t="shared" si="9"/>
        <v>#N/A</v>
      </c>
      <c r="T47" s="241" t="e">
        <f t="shared" si="10"/>
        <v>#N/A</v>
      </c>
      <c r="U47" s="215">
        <v>-44</v>
      </c>
      <c r="V47" s="639"/>
    </row>
    <row r="48" spans="1:22" ht="15.75" customHeight="1" thickBot="1" x14ac:dyDescent="0.3">
      <c r="A48" s="485" t="s">
        <v>541</v>
      </c>
      <c r="B48" s="486"/>
      <c r="C48" s="486"/>
      <c r="D48" s="1" t="e">
        <f ca="1">TEXT(0.05*Power,"+0.0")</f>
        <v>#N/A</v>
      </c>
      <c r="E48" t="s">
        <v>544</v>
      </c>
      <c r="F48" s="93" t="e">
        <f ca="1">D48*8</f>
        <v>#N/A</v>
      </c>
      <c r="G48" s="630"/>
      <c r="H48" s="486" t="s">
        <v>512</v>
      </c>
      <c r="I48" s="486"/>
      <c r="J48" s="686" t="e">
        <f ca="1">Herbalism+30</f>
        <v>#N/A</v>
      </c>
      <c r="K48" s="687"/>
      <c r="L48" s="625" t="s">
        <v>551</v>
      </c>
      <c r="M48" s="625"/>
      <c r="N48" s="625" t="s">
        <v>551</v>
      </c>
      <c r="O48" s="625"/>
      <c r="P48" s="625" t="s">
        <v>552</v>
      </c>
      <c r="Q48" s="625"/>
      <c r="R48" s="645"/>
      <c r="S48" s="242" t="e">
        <f t="shared" si="9"/>
        <v>#N/A</v>
      </c>
      <c r="T48" s="243" t="e">
        <f t="shared" si="10"/>
        <v>#N/A</v>
      </c>
      <c r="U48" s="135">
        <v>-45</v>
      </c>
      <c r="V48" s="640"/>
    </row>
    <row r="49" spans="1:22" ht="15" customHeight="1" thickBot="1" x14ac:dyDescent="0.3">
      <c r="A49" s="487" t="s">
        <v>542</v>
      </c>
      <c r="B49" s="488"/>
      <c r="C49" s="488"/>
      <c r="D49" s="87" t="s">
        <v>546</v>
      </c>
      <c r="E49" s="45" t="s">
        <v>545</v>
      </c>
      <c r="F49" s="94" t="s">
        <v>406</v>
      </c>
      <c r="G49" s="630"/>
      <c r="H49" s="592" t="s">
        <v>513</v>
      </c>
      <c r="I49" s="592"/>
      <c r="J49" s="593" t="e">
        <f ca="1">Herbalism+10</f>
        <v>#N/A</v>
      </c>
      <c r="K49" s="596"/>
      <c r="L49" s="684" t="s">
        <v>553</v>
      </c>
      <c r="M49" s="684"/>
      <c r="N49" s="684" t="s">
        <v>551</v>
      </c>
      <c r="O49" s="684"/>
      <c r="P49" s="684" t="s">
        <v>554</v>
      </c>
      <c r="Q49" s="684"/>
      <c r="R49" s="699"/>
      <c r="S49" s="238" t="e">
        <f t="shared" si="9"/>
        <v>#N/A</v>
      </c>
      <c r="T49" s="239" t="e">
        <f t="shared" si="10"/>
        <v>#N/A</v>
      </c>
      <c r="U49" s="223">
        <v>-46</v>
      </c>
      <c r="V49" s="638" t="s">
        <v>526</v>
      </c>
    </row>
    <row r="50" spans="1:22" ht="15" customHeight="1" x14ac:dyDescent="0.25">
      <c r="A50" s="614" t="s">
        <v>495</v>
      </c>
      <c r="B50" s="615"/>
      <c r="C50" s="615"/>
      <c r="D50" s="615"/>
      <c r="E50" s="615"/>
      <c r="F50" s="616"/>
      <c r="G50" s="630"/>
      <c r="H50" s="592"/>
      <c r="I50" s="592"/>
      <c r="J50" s="593" t="e">
        <f ca="1">Culinary+20</f>
        <v>#N/A</v>
      </c>
      <c r="K50" s="596"/>
      <c r="L50" s="684"/>
      <c r="M50" s="684"/>
      <c r="N50" s="684"/>
      <c r="O50" s="684"/>
      <c r="P50" s="684"/>
      <c r="Q50" s="684"/>
      <c r="R50" s="699"/>
      <c r="S50" s="240" t="e">
        <f t="shared" si="9"/>
        <v>#N/A</v>
      </c>
      <c r="T50" s="241" t="e">
        <f t="shared" si="10"/>
        <v>#N/A</v>
      </c>
      <c r="U50" s="215">
        <v>-47</v>
      </c>
      <c r="V50" s="639"/>
    </row>
    <row r="51" spans="1:22" ht="15" customHeight="1" x14ac:dyDescent="0.25">
      <c r="A51" s="674" t="s">
        <v>476</v>
      </c>
      <c r="B51" s="675"/>
      <c r="C51" s="675" t="s">
        <v>477</v>
      </c>
      <c r="D51" s="675"/>
      <c r="E51" s="675"/>
      <c r="F51" s="676"/>
      <c r="G51" s="630"/>
      <c r="H51" s="592" t="s">
        <v>514</v>
      </c>
      <c r="I51" s="592"/>
      <c r="J51" s="637" t="s">
        <v>401</v>
      </c>
      <c r="K51" s="589"/>
      <c r="L51" s="589" t="s">
        <v>529</v>
      </c>
      <c r="M51" s="589"/>
      <c r="N51" s="589" t="s">
        <v>551</v>
      </c>
      <c r="O51" s="589"/>
      <c r="P51" s="589" t="s">
        <v>555</v>
      </c>
      <c r="Q51" s="589"/>
      <c r="R51" s="595"/>
      <c r="S51" s="240" t="e">
        <f t="shared" si="9"/>
        <v>#N/A</v>
      </c>
      <c r="T51" s="241" t="e">
        <f t="shared" si="10"/>
        <v>#N/A</v>
      </c>
      <c r="U51" s="215">
        <v>-48</v>
      </c>
      <c r="V51" s="639"/>
    </row>
    <row r="52" spans="1:22" ht="15" customHeight="1" x14ac:dyDescent="0.25">
      <c r="A52" s="608" t="s">
        <v>478</v>
      </c>
      <c r="B52" s="609"/>
      <c r="C52" s="609" t="s">
        <v>479</v>
      </c>
      <c r="D52" s="609"/>
      <c r="E52" s="609"/>
      <c r="F52" s="610"/>
      <c r="G52" s="630"/>
      <c r="H52" s="486" t="s">
        <v>515</v>
      </c>
      <c r="I52" s="486"/>
      <c r="J52" s="593" t="e">
        <f ca="1">Herbalism+10</f>
        <v>#N/A</v>
      </c>
      <c r="K52" s="596"/>
      <c r="L52" s="589" t="s">
        <v>551</v>
      </c>
      <c r="M52" s="589"/>
      <c r="N52" s="589" t="s">
        <v>551</v>
      </c>
      <c r="O52" s="589"/>
      <c r="P52" s="589" t="s">
        <v>556</v>
      </c>
      <c r="Q52" s="589"/>
      <c r="R52" s="595"/>
      <c r="S52" s="240" t="e">
        <f t="shared" si="9"/>
        <v>#N/A</v>
      </c>
      <c r="T52" s="241" t="e">
        <f t="shared" si="10"/>
        <v>#N/A</v>
      </c>
      <c r="U52" s="215">
        <v>-49</v>
      </c>
      <c r="V52" s="639"/>
    </row>
    <row r="53" spans="1:22" ht="15" customHeight="1" x14ac:dyDescent="0.25">
      <c r="A53" s="608" t="s">
        <v>480</v>
      </c>
      <c r="B53" s="609"/>
      <c r="C53" s="609" t="s">
        <v>481</v>
      </c>
      <c r="D53" s="609"/>
      <c r="E53" s="609"/>
      <c r="F53" s="610"/>
      <c r="G53" s="630"/>
      <c r="H53" s="486" t="s">
        <v>516</v>
      </c>
      <c r="I53" s="486"/>
      <c r="J53" s="593" t="e">
        <f ca="1">Herbalism</f>
        <v>#N/A</v>
      </c>
      <c r="K53" s="596"/>
      <c r="L53" s="589" t="s">
        <v>552</v>
      </c>
      <c r="M53" s="589"/>
      <c r="N53" s="589" t="s">
        <v>551</v>
      </c>
      <c r="O53" s="589"/>
      <c r="P53" s="589" t="s">
        <v>554</v>
      </c>
      <c r="Q53" s="589"/>
      <c r="R53" s="595"/>
      <c r="S53" s="240" t="e">
        <f t="shared" si="9"/>
        <v>#N/A</v>
      </c>
      <c r="T53" s="241" t="e">
        <f t="shared" si="10"/>
        <v>#N/A</v>
      </c>
      <c r="U53" s="215">
        <v>-50</v>
      </c>
      <c r="V53" s="639"/>
    </row>
    <row r="54" spans="1:22" ht="15.75" customHeight="1" thickBot="1" x14ac:dyDescent="0.3">
      <c r="A54" s="608" t="s">
        <v>482</v>
      </c>
      <c r="B54" s="609"/>
      <c r="C54" s="609" t="s">
        <v>483</v>
      </c>
      <c r="D54" s="609"/>
      <c r="E54" s="609"/>
      <c r="F54" s="610"/>
      <c r="G54" s="633"/>
      <c r="H54" s="607" t="s">
        <v>517</v>
      </c>
      <c r="I54" s="607"/>
      <c r="J54" s="597" t="e">
        <f ca="1">Herbalism+20</f>
        <v>#N/A</v>
      </c>
      <c r="K54" s="598"/>
      <c r="L54" s="636" t="s">
        <v>557</v>
      </c>
      <c r="M54" s="636"/>
      <c r="N54" s="636" t="s">
        <v>551</v>
      </c>
      <c r="O54" s="636"/>
      <c r="P54" s="636" t="s">
        <v>558</v>
      </c>
      <c r="Q54" s="636"/>
      <c r="R54" s="700"/>
      <c r="S54" s="240" t="e">
        <f t="shared" si="9"/>
        <v>#N/A</v>
      </c>
      <c r="T54" s="241" t="e">
        <f t="shared" si="10"/>
        <v>#N/A</v>
      </c>
      <c r="U54" s="215">
        <v>-51</v>
      </c>
      <c r="V54" s="639"/>
    </row>
    <row r="55" spans="1:22" ht="15" customHeight="1" x14ac:dyDescent="0.25">
      <c r="A55" s="608" t="s">
        <v>484</v>
      </c>
      <c r="B55" s="609"/>
      <c r="C55" s="609" t="s">
        <v>485</v>
      </c>
      <c r="D55" s="609"/>
      <c r="E55" s="609"/>
      <c r="F55" s="610"/>
      <c r="G55" s="630" t="s">
        <v>170</v>
      </c>
      <c r="H55" s="208"/>
      <c r="I55" s="208"/>
      <c r="J55" s="606" t="s">
        <v>289</v>
      </c>
      <c r="K55" s="606"/>
      <c r="L55" s="606" t="s">
        <v>560</v>
      </c>
      <c r="M55" s="606"/>
      <c r="N55" s="606" t="s">
        <v>548</v>
      </c>
      <c r="O55" s="606"/>
      <c r="P55" s="606" t="s">
        <v>561</v>
      </c>
      <c r="Q55" s="606"/>
      <c r="R55" s="618"/>
      <c r="S55" s="240" t="e">
        <f t="shared" si="9"/>
        <v>#N/A</v>
      </c>
      <c r="T55" s="241" t="e">
        <f t="shared" si="10"/>
        <v>#N/A</v>
      </c>
      <c r="U55" s="215">
        <v>-52</v>
      </c>
      <c r="V55" s="639"/>
    </row>
    <row r="56" spans="1:22" ht="14.25" customHeight="1" x14ac:dyDescent="0.25">
      <c r="A56" s="608" t="s">
        <v>486</v>
      </c>
      <c r="B56" s="609"/>
      <c r="C56" s="609" t="s">
        <v>488</v>
      </c>
      <c r="D56" s="609"/>
      <c r="E56" s="609"/>
      <c r="F56" s="610"/>
      <c r="G56" s="630"/>
      <c r="H56" s="486" t="s">
        <v>499</v>
      </c>
      <c r="I56" s="486"/>
      <c r="J56" s="601" t="e">
        <f>Body_Development_Ranks+CO</f>
        <v>#N/A</v>
      </c>
      <c r="K56" s="602"/>
      <c r="L56" s="599" t="s">
        <v>564</v>
      </c>
      <c r="M56" s="599"/>
      <c r="N56" s="599" t="s">
        <v>562</v>
      </c>
      <c r="O56" s="599"/>
      <c r="P56" s="599" t="s">
        <v>563</v>
      </c>
      <c r="Q56" s="599"/>
      <c r="R56" s="600"/>
      <c r="S56" s="240" t="e">
        <f t="shared" si="9"/>
        <v>#N/A</v>
      </c>
      <c r="T56" s="241" t="e">
        <f t="shared" si="10"/>
        <v>#N/A</v>
      </c>
      <c r="U56" s="215">
        <v>-53</v>
      </c>
      <c r="V56" s="639"/>
    </row>
    <row r="57" spans="1:22" ht="14.25" customHeight="1" x14ac:dyDescent="0.25">
      <c r="A57" s="608" t="s">
        <v>487</v>
      </c>
      <c r="B57" s="609"/>
      <c r="C57" s="609" t="s">
        <v>489</v>
      </c>
      <c r="D57" s="609"/>
      <c r="E57" s="609"/>
      <c r="F57" s="610"/>
      <c r="G57" s="630"/>
      <c r="H57" s="486" t="s">
        <v>500</v>
      </c>
      <c r="I57" s="486"/>
      <c r="J57" s="593" t="e">
        <f ca="1">Medicine-20</f>
        <v>#N/A</v>
      </c>
      <c r="K57" s="594"/>
      <c r="L57" s="584" t="s">
        <v>565</v>
      </c>
      <c r="M57" s="584"/>
      <c r="N57" s="584" t="s">
        <v>566</v>
      </c>
      <c r="O57" s="584"/>
      <c r="P57" s="584" t="s">
        <v>567</v>
      </c>
      <c r="Q57" s="584"/>
      <c r="R57" s="585"/>
      <c r="S57" s="240" t="e">
        <f t="shared" si="9"/>
        <v>#N/A</v>
      </c>
      <c r="T57" s="241" t="e">
        <f t="shared" si="10"/>
        <v>#N/A</v>
      </c>
      <c r="U57" s="215">
        <v>-54</v>
      </c>
      <c r="V57" s="639"/>
    </row>
    <row r="58" spans="1:22" ht="14.25" customHeight="1" x14ac:dyDescent="0.25">
      <c r="A58" s="608" t="s">
        <v>490</v>
      </c>
      <c r="B58" s="609"/>
      <c r="C58" s="609" t="s">
        <v>491</v>
      </c>
      <c r="D58" s="609"/>
      <c r="E58" s="609"/>
      <c r="F58" s="610"/>
      <c r="G58" s="630"/>
      <c r="H58" s="486" t="s">
        <v>501</v>
      </c>
      <c r="I58" s="486"/>
      <c r="J58" s="593" t="e">
        <f ca="1">Medicine+20</f>
        <v>#N/A</v>
      </c>
      <c r="K58" s="594"/>
      <c r="L58" s="584" t="s">
        <v>568</v>
      </c>
      <c r="M58" s="584"/>
      <c r="N58" s="584" t="s">
        <v>529</v>
      </c>
      <c r="O58" s="584"/>
      <c r="P58" s="584" t="s">
        <v>569</v>
      </c>
      <c r="Q58" s="584"/>
      <c r="R58" s="585"/>
      <c r="S58" s="240" t="e">
        <f t="shared" si="9"/>
        <v>#N/A</v>
      </c>
      <c r="T58" s="241" t="e">
        <f t="shared" si="10"/>
        <v>#N/A</v>
      </c>
      <c r="U58" s="215">
        <v>-55</v>
      </c>
      <c r="V58" s="639"/>
    </row>
    <row r="59" spans="1:22" ht="14.25" customHeight="1" x14ac:dyDescent="0.25">
      <c r="A59" s="608" t="s">
        <v>492</v>
      </c>
      <c r="B59" s="609"/>
      <c r="C59" s="609" t="s">
        <v>493</v>
      </c>
      <c r="D59" s="609"/>
      <c r="E59" s="609"/>
      <c r="F59" s="610"/>
      <c r="G59" s="630"/>
      <c r="H59" s="486" t="s">
        <v>502</v>
      </c>
      <c r="I59" s="486"/>
      <c r="J59" s="593" t="e">
        <f ca="1">Medicine</f>
        <v>#N/A</v>
      </c>
      <c r="K59" s="594"/>
      <c r="L59" s="584" t="s">
        <v>570</v>
      </c>
      <c r="M59" s="584"/>
      <c r="N59" s="584" t="s">
        <v>571</v>
      </c>
      <c r="O59" s="584"/>
      <c r="P59" s="584" t="s">
        <v>572</v>
      </c>
      <c r="Q59" s="584"/>
      <c r="R59" s="585"/>
      <c r="S59" s="240" t="e">
        <f t="shared" si="9"/>
        <v>#N/A</v>
      </c>
      <c r="T59" s="241" t="e">
        <f t="shared" si="10"/>
        <v>#N/A</v>
      </c>
      <c r="U59" s="215">
        <v>-56</v>
      </c>
      <c r="V59" s="639"/>
    </row>
    <row r="60" spans="1:22" ht="14.25" customHeight="1" thickBot="1" x14ac:dyDescent="0.3">
      <c r="A60" s="679" t="s">
        <v>494</v>
      </c>
      <c r="B60" s="641"/>
      <c r="C60" s="641" t="s">
        <v>592</v>
      </c>
      <c r="D60" s="641"/>
      <c r="E60" s="641"/>
      <c r="F60" s="642"/>
      <c r="G60" s="630"/>
      <c r="H60" s="486" t="s">
        <v>503</v>
      </c>
      <c r="I60" s="486"/>
      <c r="J60" s="593" t="e">
        <f ca="1">Medicine-20</f>
        <v>#N/A</v>
      </c>
      <c r="K60" s="594"/>
      <c r="L60" s="584" t="s">
        <v>573</v>
      </c>
      <c r="M60" s="584"/>
      <c r="N60" s="584" t="s">
        <v>574</v>
      </c>
      <c r="O60" s="584"/>
      <c r="P60" s="584" t="s">
        <v>575</v>
      </c>
      <c r="Q60" s="584"/>
      <c r="R60" s="585"/>
      <c r="S60" s="240" t="e">
        <f t="shared" si="9"/>
        <v>#N/A</v>
      </c>
      <c r="T60" s="241" t="e">
        <f t="shared" si="10"/>
        <v>#N/A</v>
      </c>
      <c r="U60" s="215">
        <v>-57</v>
      </c>
      <c r="V60" s="639"/>
    </row>
    <row r="61" spans="1:22" x14ac:dyDescent="0.25">
      <c r="A61" s="586" t="s">
        <v>73</v>
      </c>
      <c r="B61" s="587"/>
      <c r="C61" s="88" t="s">
        <v>289</v>
      </c>
      <c r="D61" s="88"/>
      <c r="E61" s="88" t="s">
        <v>76</v>
      </c>
      <c r="F61" s="89" t="s">
        <v>28</v>
      </c>
      <c r="G61" s="630"/>
      <c r="H61" s="486" t="s">
        <v>504</v>
      </c>
      <c r="I61" s="486"/>
      <c r="J61" s="593" t="e">
        <f ca="1">Medicine+30</f>
        <v>#N/A</v>
      </c>
      <c r="K61" s="594"/>
      <c r="L61" s="589" t="s">
        <v>576</v>
      </c>
      <c r="M61" s="584"/>
      <c r="N61" s="584" t="s">
        <v>577</v>
      </c>
      <c r="O61" s="584"/>
      <c r="P61" s="584" t="s">
        <v>578</v>
      </c>
      <c r="Q61" s="584"/>
      <c r="R61" s="585"/>
      <c r="S61" s="240" t="e">
        <f t="shared" si="9"/>
        <v>#N/A</v>
      </c>
      <c r="T61" s="241" t="e">
        <f t="shared" si="10"/>
        <v>#N/A</v>
      </c>
      <c r="U61" s="215">
        <v>-58</v>
      </c>
      <c r="V61" s="639"/>
    </row>
    <row r="62" spans="1:22" ht="15" customHeight="1" x14ac:dyDescent="0.25">
      <c r="A62" s="588" t="s">
        <v>85</v>
      </c>
      <c r="B62" s="542"/>
      <c r="C62" s="525" t="s">
        <v>86</v>
      </c>
      <c r="D62" s="541"/>
      <c r="E62" s="3">
        <f>'Skill Workbook'!AE16</f>
        <v>0</v>
      </c>
      <c r="F62" s="73" t="e">
        <f ca="1">'Skill Workbook'!AL16</f>
        <v>#N/A</v>
      </c>
      <c r="G62" s="630"/>
      <c r="H62" s="486" t="s">
        <v>505</v>
      </c>
      <c r="I62" s="486"/>
      <c r="J62" s="593" t="e">
        <f ca="1">Medicine+20</f>
        <v>#N/A</v>
      </c>
      <c r="K62" s="594"/>
      <c r="L62" s="584" t="s">
        <v>585</v>
      </c>
      <c r="M62" s="584"/>
      <c r="N62" s="584" t="s">
        <v>566</v>
      </c>
      <c r="O62" s="584"/>
      <c r="P62" s="584" t="s">
        <v>567</v>
      </c>
      <c r="Q62" s="584"/>
      <c r="R62" s="585"/>
      <c r="S62" s="240" t="e">
        <f t="shared" si="9"/>
        <v>#N/A</v>
      </c>
      <c r="T62" s="241" t="e">
        <f t="shared" si="10"/>
        <v>#N/A</v>
      </c>
      <c r="U62" s="215">
        <v>-59</v>
      </c>
      <c r="V62" s="639"/>
    </row>
    <row r="63" spans="1:22" x14ac:dyDescent="0.25">
      <c r="A63" s="588" t="s">
        <v>89</v>
      </c>
      <c r="B63" s="542"/>
      <c r="C63" s="525" t="s">
        <v>91</v>
      </c>
      <c r="D63" s="541"/>
      <c r="E63" s="3">
        <f>'Skill Workbook'!AE28</f>
        <v>0</v>
      </c>
      <c r="F63" s="73">
        <f ca="1">'Skill Workbook'!AL28</f>
        <v>-25</v>
      </c>
      <c r="G63" s="630"/>
      <c r="H63" s="486" t="s">
        <v>506</v>
      </c>
      <c r="I63" s="486"/>
      <c r="J63" s="593" t="e">
        <f ca="1">Medicine+20</f>
        <v>#N/A</v>
      </c>
      <c r="K63" s="594"/>
      <c r="L63" s="584" t="s">
        <v>570</v>
      </c>
      <c r="M63" s="584"/>
      <c r="N63" s="584" t="s">
        <v>566</v>
      </c>
      <c r="O63" s="584"/>
      <c r="P63" s="584" t="s">
        <v>567</v>
      </c>
      <c r="Q63" s="584"/>
      <c r="R63" s="585"/>
      <c r="S63" s="240" t="e">
        <f t="shared" si="9"/>
        <v>#N/A</v>
      </c>
      <c r="T63" s="241" t="e">
        <f t="shared" si="10"/>
        <v>#N/A</v>
      </c>
      <c r="U63" s="215">
        <v>-60</v>
      </c>
      <c r="V63" s="639"/>
    </row>
    <row r="64" spans="1:22" x14ac:dyDescent="0.25">
      <c r="A64" s="588" t="s">
        <v>89</v>
      </c>
      <c r="B64" s="542"/>
      <c r="C64" s="525" t="s">
        <v>92</v>
      </c>
      <c r="D64" s="541"/>
      <c r="E64" s="3">
        <f>'Skill Workbook'!AE29</f>
        <v>0</v>
      </c>
      <c r="F64" s="73">
        <f ca="1">'Skill Workbook'!AL29</f>
        <v>-25</v>
      </c>
      <c r="G64" s="630"/>
      <c r="H64" s="486" t="s">
        <v>507</v>
      </c>
      <c r="I64" s="486"/>
      <c r="J64" s="593" t="e">
        <f ca="1">Medicine+10</f>
        <v>#N/A</v>
      </c>
      <c r="K64" s="594"/>
      <c r="L64" s="584"/>
      <c r="M64" s="584"/>
      <c r="N64" s="584" t="s">
        <v>579</v>
      </c>
      <c r="O64" s="584"/>
      <c r="P64" s="584" t="s">
        <v>567</v>
      </c>
      <c r="Q64" s="584"/>
      <c r="R64" s="585"/>
      <c r="S64" s="240" t="e">
        <f t="shared" si="9"/>
        <v>#N/A</v>
      </c>
      <c r="T64" s="241" t="e">
        <f t="shared" si="10"/>
        <v>#N/A</v>
      </c>
      <c r="U64" s="215">
        <v>-61</v>
      </c>
      <c r="V64" s="639"/>
    </row>
    <row r="65" spans="1:22" x14ac:dyDescent="0.25">
      <c r="A65" s="588" t="s">
        <v>89</v>
      </c>
      <c r="B65" s="542"/>
      <c r="C65" s="525" t="s">
        <v>93</v>
      </c>
      <c r="D65" s="541"/>
      <c r="E65" s="3">
        <f>'Skill Workbook'!AE30</f>
        <v>0</v>
      </c>
      <c r="F65" s="73">
        <f ca="1">'Skill Workbook'!AL30</f>
        <v>-25</v>
      </c>
      <c r="G65" s="630"/>
      <c r="H65" s="486" t="s">
        <v>508</v>
      </c>
      <c r="I65" s="486"/>
      <c r="J65" s="593" t="e">
        <f ca="1">Medicine</f>
        <v>#N/A</v>
      </c>
      <c r="K65" s="594"/>
      <c r="L65" s="584"/>
      <c r="M65" s="584"/>
      <c r="N65" s="584" t="s">
        <v>566</v>
      </c>
      <c r="O65" s="584"/>
      <c r="P65" s="584" t="s">
        <v>567</v>
      </c>
      <c r="Q65" s="584"/>
      <c r="R65" s="585"/>
      <c r="S65" s="240" t="e">
        <f t="shared" si="9"/>
        <v>#N/A</v>
      </c>
      <c r="T65" s="241" t="e">
        <f t="shared" si="10"/>
        <v>#N/A</v>
      </c>
      <c r="U65" s="215">
        <v>-62</v>
      </c>
      <c r="V65" s="639"/>
    </row>
    <row r="66" spans="1:22" x14ac:dyDescent="0.25">
      <c r="A66" s="588" t="s">
        <v>95</v>
      </c>
      <c r="B66" s="542"/>
      <c r="C66" s="525" t="s">
        <v>96</v>
      </c>
      <c r="D66" s="541"/>
      <c r="E66" s="3">
        <f>'Skill Workbook'!AE31</f>
        <v>0</v>
      </c>
      <c r="F66" s="73" t="e">
        <f ca="1">'Skill Workbook'!AL31</f>
        <v>#N/A</v>
      </c>
      <c r="G66" s="630"/>
      <c r="H66" s="486" t="s">
        <v>509</v>
      </c>
      <c r="I66" s="486"/>
      <c r="J66" s="593" t="e">
        <f ca="1">Medicine+30</f>
        <v>#N/A</v>
      </c>
      <c r="K66" s="594"/>
      <c r="L66" s="584"/>
      <c r="M66" s="584"/>
      <c r="N66" s="584" t="s">
        <v>566</v>
      </c>
      <c r="O66" s="584"/>
      <c r="P66" s="584" t="s">
        <v>567</v>
      </c>
      <c r="Q66" s="584"/>
      <c r="R66" s="585"/>
      <c r="S66" s="240" t="e">
        <f t="shared" si="9"/>
        <v>#N/A</v>
      </c>
      <c r="T66" s="241" t="e">
        <f t="shared" si="10"/>
        <v>#N/A</v>
      </c>
      <c r="U66" s="215">
        <v>-63</v>
      </c>
      <c r="V66" s="639"/>
    </row>
    <row r="67" spans="1:22" x14ac:dyDescent="0.25">
      <c r="A67" s="588" t="s">
        <v>95</v>
      </c>
      <c r="B67" s="542"/>
      <c r="C67" s="525" t="s">
        <v>97</v>
      </c>
      <c r="D67" s="541"/>
      <c r="E67" s="3">
        <f>'Skill Workbook'!AE32</f>
        <v>0</v>
      </c>
      <c r="F67" s="73" t="e">
        <f ca="1">'Skill Workbook'!AL32</f>
        <v>#N/A</v>
      </c>
      <c r="G67" s="630"/>
      <c r="H67" s="486" t="s">
        <v>582</v>
      </c>
      <c r="I67" s="486"/>
      <c r="J67" s="593" t="e">
        <f ca="1">Medicine</f>
        <v>#N/A</v>
      </c>
      <c r="K67" s="594"/>
      <c r="L67" s="584"/>
      <c r="M67" s="584"/>
      <c r="N67" s="584" t="s">
        <v>584</v>
      </c>
      <c r="O67" s="584"/>
      <c r="P67" s="584" t="s">
        <v>583</v>
      </c>
      <c r="Q67" s="584"/>
      <c r="R67" s="585"/>
      <c r="S67" s="240" t="e">
        <f t="shared" si="9"/>
        <v>#N/A</v>
      </c>
      <c r="T67" s="241" t="e">
        <f t="shared" si="10"/>
        <v>#N/A</v>
      </c>
      <c r="U67" s="215">
        <v>-64</v>
      </c>
      <c r="V67" s="639"/>
    </row>
    <row r="68" spans="1:22" ht="15.75" thickBot="1" x14ac:dyDescent="0.3">
      <c r="A68" s="588" t="s">
        <v>95</v>
      </c>
      <c r="B68" s="542"/>
      <c r="C68" s="525" t="s">
        <v>98</v>
      </c>
      <c r="D68" s="541"/>
      <c r="E68" s="3">
        <f>'Skill Workbook'!AE33</f>
        <v>0</v>
      </c>
      <c r="F68" s="73" t="e">
        <f ca="1">'Skill Workbook'!AL33</f>
        <v>#N/A</v>
      </c>
      <c r="G68" s="631"/>
      <c r="H68" s="72" t="s">
        <v>510</v>
      </c>
      <c r="I68" s="72"/>
      <c r="J68" s="603" t="e">
        <f ca="1">Medicine</f>
        <v>#N/A</v>
      </c>
      <c r="K68" s="604"/>
      <c r="L68" s="605" t="s">
        <v>581</v>
      </c>
      <c r="M68" s="590"/>
      <c r="N68" s="590" t="s">
        <v>530</v>
      </c>
      <c r="O68" s="590"/>
      <c r="P68" s="590" t="s">
        <v>580</v>
      </c>
      <c r="Q68" s="590"/>
      <c r="R68" s="591"/>
      <c r="S68" s="240" t="e">
        <f t="shared" si="9"/>
        <v>#N/A</v>
      </c>
      <c r="T68" s="241" t="e">
        <f t="shared" si="10"/>
        <v>#N/A</v>
      </c>
      <c r="U68" s="215">
        <v>-65</v>
      </c>
      <c r="V68" s="639"/>
    </row>
    <row r="69" spans="1:22" x14ac:dyDescent="0.25">
      <c r="A69" s="588" t="s">
        <v>95</v>
      </c>
      <c r="B69" s="542"/>
      <c r="C69" s="525" t="s">
        <v>99</v>
      </c>
      <c r="D69" s="541"/>
      <c r="E69" s="3">
        <f>'Skill Workbook'!AE34</f>
        <v>0</v>
      </c>
      <c r="F69" s="73" t="e">
        <f ca="1">'Skill Workbook'!AL34</f>
        <v>#N/A</v>
      </c>
      <c r="G69" s="758" t="s">
        <v>951</v>
      </c>
      <c r="H69" s="759"/>
      <c r="I69" s="759"/>
      <c r="J69" s="759"/>
      <c r="K69" s="759"/>
      <c r="L69" s="759"/>
      <c r="M69" s="759"/>
      <c r="N69" s="759"/>
      <c r="O69" s="759"/>
      <c r="P69" s="759"/>
      <c r="Q69" s="759"/>
      <c r="R69" s="760"/>
      <c r="S69" s="240" t="e">
        <f t="shared" si="9"/>
        <v>#N/A</v>
      </c>
      <c r="T69" s="241" t="e">
        <f t="shared" si="10"/>
        <v>#N/A</v>
      </c>
      <c r="U69" s="215">
        <v>-66</v>
      </c>
      <c r="V69" s="639"/>
    </row>
    <row r="70" spans="1:22" x14ac:dyDescent="0.25">
      <c r="A70" s="588" t="s">
        <v>104</v>
      </c>
      <c r="B70" s="542"/>
      <c r="C70" s="525" t="s">
        <v>106</v>
      </c>
      <c r="D70" s="541"/>
      <c r="E70" s="3">
        <f>'Skill Workbook'!AE44</f>
        <v>0</v>
      </c>
      <c r="F70" s="73" t="e">
        <f ca="1">'Skill Workbook'!AL44</f>
        <v>#N/A</v>
      </c>
      <c r="G70" s="761"/>
      <c r="H70" s="762"/>
      <c r="I70" s="762"/>
      <c r="J70" s="762"/>
      <c r="K70" s="762"/>
      <c r="L70" s="762"/>
      <c r="M70" s="763"/>
      <c r="N70" s="762"/>
      <c r="O70" s="762"/>
      <c r="P70" s="762"/>
      <c r="Q70" s="762"/>
      <c r="R70" s="764"/>
      <c r="S70" s="240" t="e">
        <f t="shared" si="9"/>
        <v>#N/A</v>
      </c>
      <c r="T70" s="241" t="e">
        <f t="shared" si="10"/>
        <v>#N/A</v>
      </c>
      <c r="U70" s="215">
        <v>-67</v>
      </c>
      <c r="V70" s="639"/>
    </row>
    <row r="71" spans="1:22" x14ac:dyDescent="0.25">
      <c r="A71" s="588" t="s">
        <v>104</v>
      </c>
      <c r="B71" s="542"/>
      <c r="C71" s="525" t="s">
        <v>107</v>
      </c>
      <c r="D71" s="541"/>
      <c r="E71" s="3">
        <f>'Skill Workbook'!AE45</f>
        <v>0</v>
      </c>
      <c r="F71" s="73" t="e">
        <f ca="1">'Skill Workbook'!AL45</f>
        <v>#N/A</v>
      </c>
      <c r="G71" s="751" t="s">
        <v>952</v>
      </c>
      <c r="H71" s="752"/>
      <c r="I71" s="752"/>
      <c r="J71" s="3">
        <f>IF(G70="",0,VLOOKUP(G70,Table_Fighting_Styles,2,FALSE))</f>
        <v>0</v>
      </c>
      <c r="K71" s="262" t="s">
        <v>29</v>
      </c>
      <c r="L71" s="215">
        <f>SUMPRODUCT(K73:K81,L73:L81)</f>
        <v>0</v>
      </c>
      <c r="M71" s="765" t="s">
        <v>952</v>
      </c>
      <c r="N71" s="752"/>
      <c r="O71" s="752"/>
      <c r="P71" s="3">
        <f>IF(M70="",0,VLOOKUP(M70,Table_Fighting_Styles,2,FALSE))</f>
        <v>0</v>
      </c>
      <c r="Q71" s="262" t="s">
        <v>29</v>
      </c>
      <c r="R71" s="7">
        <f>SUMPRODUCT(Q73:Q81,R73:R81)</f>
        <v>0</v>
      </c>
      <c r="S71" s="240" t="e">
        <f t="shared" si="9"/>
        <v>#N/A</v>
      </c>
      <c r="T71" s="241" t="e">
        <f t="shared" si="10"/>
        <v>#N/A</v>
      </c>
      <c r="U71" s="215">
        <v>-68</v>
      </c>
      <c r="V71" s="639"/>
    </row>
    <row r="72" spans="1:22" ht="16.5" thickBot="1" x14ac:dyDescent="0.3">
      <c r="A72" s="588" t="s">
        <v>109</v>
      </c>
      <c r="B72" s="542"/>
      <c r="C72" s="525" t="s">
        <v>110</v>
      </c>
      <c r="D72" s="541"/>
      <c r="E72" s="3">
        <f>'Skill Workbook'!AE54</f>
        <v>0</v>
      </c>
      <c r="F72" s="73">
        <f ca="1">'Skill Workbook'!AL54</f>
        <v>-25</v>
      </c>
      <c r="G72" s="753" t="s">
        <v>953</v>
      </c>
      <c r="H72" s="754"/>
      <c r="I72" s="754"/>
      <c r="J72" s="263">
        <f>J71-L71</f>
        <v>0</v>
      </c>
      <c r="K72" s="264" t="s">
        <v>521</v>
      </c>
      <c r="L72" s="265" t="s">
        <v>408</v>
      </c>
      <c r="M72" s="766" t="s">
        <v>953</v>
      </c>
      <c r="N72" s="754"/>
      <c r="O72" s="754"/>
      <c r="P72" s="263">
        <f>P71-R71</f>
        <v>0</v>
      </c>
      <c r="Q72" s="264" t="s">
        <v>521</v>
      </c>
      <c r="R72" s="266" t="s">
        <v>408</v>
      </c>
      <c r="S72" s="240" t="e">
        <f t="shared" si="9"/>
        <v>#N/A</v>
      </c>
      <c r="T72" s="241" t="e">
        <f t="shared" si="10"/>
        <v>#N/A</v>
      </c>
      <c r="U72" s="215">
        <v>-69</v>
      </c>
      <c r="V72" s="639"/>
    </row>
    <row r="73" spans="1:22" x14ac:dyDescent="0.25">
      <c r="A73" s="588" t="s">
        <v>109</v>
      </c>
      <c r="B73" s="542"/>
      <c r="C73" s="525" t="s">
        <v>111</v>
      </c>
      <c r="D73" s="541"/>
      <c r="E73" s="3">
        <f>'Skill Workbook'!AE55</f>
        <v>0</v>
      </c>
      <c r="F73" s="73">
        <f ca="1">'Skill Workbook'!AL55</f>
        <v>-25</v>
      </c>
      <c r="G73" s="755"/>
      <c r="H73" s="599"/>
      <c r="I73" s="599"/>
      <c r="J73" s="599"/>
      <c r="K73" s="81">
        <v>1</v>
      </c>
      <c r="L73" s="134">
        <f t="shared" ref="L73:L81" si="11">IF(G73="",0,VLOOKUP(G73,Table_Style_Abilities,2,FALSE))</f>
        <v>0</v>
      </c>
      <c r="M73" s="767"/>
      <c r="N73" s="599"/>
      <c r="O73" s="599"/>
      <c r="P73" s="599"/>
      <c r="Q73" s="81">
        <v>1</v>
      </c>
      <c r="R73" s="82">
        <f t="shared" ref="R73:R81" si="12">IF(M73="",0,VLOOKUP(M73,Table_Style_Abilities,2,FALSE))</f>
        <v>0</v>
      </c>
      <c r="S73" s="240" t="e">
        <f t="shared" si="9"/>
        <v>#N/A</v>
      </c>
      <c r="T73" s="241" t="e">
        <f t="shared" si="10"/>
        <v>#N/A</v>
      </c>
      <c r="U73" s="215">
        <v>-70</v>
      </c>
      <c r="V73" s="639"/>
    </row>
    <row r="74" spans="1:22" x14ac:dyDescent="0.25">
      <c r="A74" s="588" t="s">
        <v>109</v>
      </c>
      <c r="B74" s="542"/>
      <c r="C74" s="525" t="s">
        <v>112</v>
      </c>
      <c r="D74" s="541"/>
      <c r="E74" s="3">
        <f>'Skill Workbook'!AE56</f>
        <v>0</v>
      </c>
      <c r="F74" s="73">
        <f ca="1">'Skill Workbook'!AL56</f>
        <v>-25</v>
      </c>
      <c r="G74" s="756"/>
      <c r="H74" s="584"/>
      <c r="I74" s="584"/>
      <c r="J74" s="584"/>
      <c r="K74" s="3">
        <v>1</v>
      </c>
      <c r="L74" s="215">
        <f t="shared" si="11"/>
        <v>0</v>
      </c>
      <c r="M74" s="768"/>
      <c r="N74" s="584"/>
      <c r="O74" s="584"/>
      <c r="P74" s="584"/>
      <c r="Q74" s="3">
        <v>1</v>
      </c>
      <c r="R74" s="7">
        <f t="shared" si="12"/>
        <v>0</v>
      </c>
      <c r="S74" s="240" t="e">
        <f t="shared" si="9"/>
        <v>#N/A</v>
      </c>
      <c r="T74" s="241" t="e">
        <f t="shared" si="10"/>
        <v>#N/A</v>
      </c>
      <c r="U74" s="215">
        <v>-71</v>
      </c>
      <c r="V74" s="639"/>
    </row>
    <row r="75" spans="1:22" x14ac:dyDescent="0.25">
      <c r="A75" s="588" t="s">
        <v>109</v>
      </c>
      <c r="B75" s="542"/>
      <c r="C75" s="525" t="s">
        <v>113</v>
      </c>
      <c r="D75" s="541"/>
      <c r="E75" s="3">
        <f>'Skill Workbook'!AE57</f>
        <v>0</v>
      </c>
      <c r="F75" s="73">
        <f ca="1">'Skill Workbook'!AL57</f>
        <v>-25</v>
      </c>
      <c r="G75" s="756"/>
      <c r="H75" s="584"/>
      <c r="I75" s="584"/>
      <c r="J75" s="584"/>
      <c r="K75" s="3">
        <v>1</v>
      </c>
      <c r="L75" s="215">
        <f t="shared" si="11"/>
        <v>0</v>
      </c>
      <c r="M75" s="768"/>
      <c r="N75" s="584"/>
      <c r="O75" s="584"/>
      <c r="P75" s="584"/>
      <c r="Q75" s="3">
        <v>1</v>
      </c>
      <c r="R75" s="7">
        <f t="shared" si="12"/>
        <v>0</v>
      </c>
      <c r="S75" s="240" t="e">
        <f t="shared" si="9"/>
        <v>#N/A</v>
      </c>
      <c r="T75" s="241" t="e">
        <f t="shared" si="10"/>
        <v>#N/A</v>
      </c>
      <c r="U75" s="215">
        <v>-72</v>
      </c>
      <c r="V75" s="639"/>
    </row>
    <row r="76" spans="1:22" x14ac:dyDescent="0.25">
      <c r="A76" s="588" t="s">
        <v>109</v>
      </c>
      <c r="B76" s="542"/>
      <c r="C76" s="525" t="s">
        <v>114</v>
      </c>
      <c r="D76" s="541"/>
      <c r="E76" s="3">
        <f>'Skill Workbook'!AE58</f>
        <v>0</v>
      </c>
      <c r="F76" s="73">
        <f ca="1">'Skill Workbook'!AL58</f>
        <v>-25</v>
      </c>
      <c r="G76" s="756"/>
      <c r="H76" s="584"/>
      <c r="I76" s="584"/>
      <c r="J76" s="584"/>
      <c r="K76" s="3">
        <v>1</v>
      </c>
      <c r="L76" s="215">
        <f t="shared" si="11"/>
        <v>0</v>
      </c>
      <c r="M76" s="768"/>
      <c r="N76" s="584"/>
      <c r="O76" s="584"/>
      <c r="P76" s="584"/>
      <c r="Q76" s="3">
        <v>1</v>
      </c>
      <c r="R76" s="7">
        <f t="shared" si="12"/>
        <v>0</v>
      </c>
      <c r="S76" s="240" t="e">
        <f t="shared" si="9"/>
        <v>#N/A</v>
      </c>
      <c r="T76" s="241" t="e">
        <f t="shared" si="10"/>
        <v>#N/A</v>
      </c>
      <c r="U76" s="215">
        <v>-73</v>
      </c>
      <c r="V76" s="639"/>
    </row>
    <row r="77" spans="1:22" x14ac:dyDescent="0.25">
      <c r="A77" s="588"/>
      <c r="B77" s="542"/>
      <c r="C77" s="525"/>
      <c r="D77" s="541"/>
      <c r="E77" s="3"/>
      <c r="F77" s="73"/>
      <c r="G77" s="756"/>
      <c r="H77" s="584"/>
      <c r="I77" s="584"/>
      <c r="J77" s="584"/>
      <c r="K77" s="3">
        <v>1</v>
      </c>
      <c r="L77" s="215">
        <f t="shared" si="11"/>
        <v>0</v>
      </c>
      <c r="M77" s="768"/>
      <c r="N77" s="584"/>
      <c r="O77" s="584"/>
      <c r="P77" s="584"/>
      <c r="Q77" s="3">
        <v>1</v>
      </c>
      <c r="R77" s="7">
        <f t="shared" si="12"/>
        <v>0</v>
      </c>
      <c r="S77" s="240" t="e">
        <f t="shared" si="9"/>
        <v>#N/A</v>
      </c>
      <c r="T77" s="241" t="e">
        <f t="shared" si="10"/>
        <v>#N/A</v>
      </c>
      <c r="U77" s="215">
        <v>-74</v>
      </c>
      <c r="V77" s="639"/>
    </row>
    <row r="78" spans="1:22" ht="15.75" thickBot="1" x14ac:dyDescent="0.3">
      <c r="A78" s="588"/>
      <c r="B78" s="542"/>
      <c r="C78" s="525"/>
      <c r="D78" s="541"/>
      <c r="E78" s="3"/>
      <c r="F78" s="73"/>
      <c r="G78" s="756"/>
      <c r="H78" s="584"/>
      <c r="I78" s="584"/>
      <c r="J78" s="584"/>
      <c r="K78" s="3">
        <v>1</v>
      </c>
      <c r="L78" s="215">
        <f t="shared" si="11"/>
        <v>0</v>
      </c>
      <c r="M78" s="768"/>
      <c r="N78" s="584"/>
      <c r="O78" s="584"/>
      <c r="P78" s="584"/>
      <c r="Q78" s="3">
        <v>1</v>
      </c>
      <c r="R78" s="7">
        <f t="shared" si="12"/>
        <v>0</v>
      </c>
      <c r="S78" s="242" t="e">
        <f t="shared" si="9"/>
        <v>#N/A</v>
      </c>
      <c r="T78" s="243" t="e">
        <f t="shared" si="10"/>
        <v>#N/A</v>
      </c>
      <c r="U78" s="135">
        <v>-75</v>
      </c>
      <c r="V78" s="640"/>
    </row>
    <row r="79" spans="1:22" x14ac:dyDescent="0.25">
      <c r="A79" s="588"/>
      <c r="B79" s="542"/>
      <c r="C79" s="525"/>
      <c r="D79" s="541"/>
      <c r="E79" s="3"/>
      <c r="F79" s="73"/>
      <c r="G79" s="756"/>
      <c r="H79" s="584"/>
      <c r="I79" s="584"/>
      <c r="J79" s="584"/>
      <c r="K79" s="3">
        <v>1</v>
      </c>
      <c r="L79" s="215">
        <f t="shared" si="11"/>
        <v>0</v>
      </c>
      <c r="M79" s="768"/>
      <c r="N79" s="584"/>
      <c r="O79" s="584"/>
      <c r="P79" s="584"/>
      <c r="Q79" s="3">
        <v>1</v>
      </c>
      <c r="R79" s="7">
        <f t="shared" si="12"/>
        <v>0</v>
      </c>
      <c r="S79" s="483" t="s">
        <v>593</v>
      </c>
      <c r="T79" s="484"/>
      <c r="U79" s="484"/>
      <c r="V79" s="112" t="e">
        <f>Main!P36*Weight</f>
        <v>#N/A</v>
      </c>
    </row>
    <row r="80" spans="1:22" x14ac:dyDescent="0.25">
      <c r="A80" s="588"/>
      <c r="B80" s="542"/>
      <c r="C80" s="525"/>
      <c r="D80" s="541"/>
      <c r="E80" s="3"/>
      <c r="F80" s="73"/>
      <c r="G80" s="756"/>
      <c r="H80" s="584"/>
      <c r="I80" s="584"/>
      <c r="J80" s="584"/>
      <c r="K80" s="3">
        <v>1</v>
      </c>
      <c r="L80" s="215">
        <f t="shared" si="11"/>
        <v>0</v>
      </c>
      <c r="M80" s="768"/>
      <c r="N80" s="584"/>
      <c r="O80" s="584"/>
      <c r="P80" s="584"/>
      <c r="Q80" s="3">
        <v>1</v>
      </c>
      <c r="R80" s="7">
        <f t="shared" si="12"/>
        <v>0</v>
      </c>
      <c r="S80" s="485" t="s">
        <v>594</v>
      </c>
      <c r="T80" s="486"/>
      <c r="U80" s="486"/>
      <c r="V80" s="113">
        <f>VLOOKUP(Main!$C$37,Table_Armor_Shields,3,FALSE)</f>
        <v>0</v>
      </c>
    </row>
    <row r="81" spans="1:22" ht="15.75" thickBot="1" x14ac:dyDescent="0.3">
      <c r="A81" s="583"/>
      <c r="B81" s="544"/>
      <c r="C81" s="529"/>
      <c r="D81" s="543"/>
      <c r="E81" s="15"/>
      <c r="F81" s="79"/>
      <c r="G81" s="757"/>
      <c r="H81" s="590"/>
      <c r="I81" s="590"/>
      <c r="J81" s="590"/>
      <c r="K81" s="15">
        <v>1</v>
      </c>
      <c r="L81" s="135">
        <f t="shared" si="11"/>
        <v>0</v>
      </c>
      <c r="M81" s="769"/>
      <c r="N81" s="590"/>
      <c r="O81" s="590"/>
      <c r="P81" s="590"/>
      <c r="Q81" s="15">
        <v>1</v>
      </c>
      <c r="R81" s="80">
        <f t="shared" si="12"/>
        <v>0</v>
      </c>
      <c r="S81" s="693" t="s">
        <v>595</v>
      </c>
      <c r="T81" s="694"/>
      <c r="U81" s="694"/>
      <c r="V81" s="111" t="e">
        <f>SUM(V79:V80)</f>
        <v>#N/A</v>
      </c>
    </row>
    <row r="83" spans="1:22" ht="15.75" thickBot="1" x14ac:dyDescent="0.3"/>
    <row r="84" spans="1:22" ht="15" customHeight="1" x14ac:dyDescent="0.25">
      <c r="H84" s="444" t="s">
        <v>978</v>
      </c>
      <c r="I84" s="453"/>
      <c r="J84" s="453"/>
      <c r="K84" s="453"/>
      <c r="L84" s="453"/>
      <c r="M84" s="453"/>
      <c r="N84" s="453"/>
      <c r="O84" s="453"/>
      <c r="P84" s="453"/>
      <c r="Q84" s="454"/>
    </row>
    <row r="85" spans="1:22" x14ac:dyDescent="0.25">
      <c r="H85" s="455"/>
      <c r="I85" s="456"/>
      <c r="J85" s="456"/>
      <c r="K85" s="456"/>
      <c r="L85" s="456"/>
      <c r="M85" s="456"/>
      <c r="N85" s="456"/>
      <c r="O85" s="456"/>
      <c r="P85" s="456"/>
      <c r="Q85" s="457"/>
    </row>
    <row r="86" spans="1:22" x14ac:dyDescent="0.25">
      <c r="H86" s="455"/>
      <c r="I86" s="456"/>
      <c r="J86" s="456"/>
      <c r="K86" s="456"/>
      <c r="L86" s="456"/>
      <c r="M86" s="456"/>
      <c r="N86" s="456"/>
      <c r="O86" s="456"/>
      <c r="P86" s="456"/>
      <c r="Q86" s="457"/>
    </row>
    <row r="87" spans="1:22" x14ac:dyDescent="0.25">
      <c r="H87" s="455"/>
      <c r="I87" s="456"/>
      <c r="J87" s="456"/>
      <c r="K87" s="456"/>
      <c r="L87" s="456"/>
      <c r="M87" s="456"/>
      <c r="N87" s="456"/>
      <c r="O87" s="456"/>
      <c r="P87" s="456"/>
      <c r="Q87" s="457"/>
    </row>
    <row r="88" spans="1:22" x14ac:dyDescent="0.25">
      <c r="H88" s="455"/>
      <c r="I88" s="456"/>
      <c r="J88" s="456"/>
      <c r="K88" s="456"/>
      <c r="L88" s="456"/>
      <c r="M88" s="456"/>
      <c r="N88" s="456"/>
      <c r="O88" s="456"/>
      <c r="P88" s="456"/>
      <c r="Q88" s="457"/>
    </row>
    <row r="89" spans="1:22" x14ac:dyDescent="0.25">
      <c r="H89" s="455"/>
      <c r="I89" s="456"/>
      <c r="J89" s="456"/>
      <c r="K89" s="456"/>
      <c r="L89" s="456"/>
      <c r="M89" s="456"/>
      <c r="N89" s="456"/>
      <c r="O89" s="456"/>
      <c r="P89" s="456"/>
      <c r="Q89" s="457"/>
    </row>
    <row r="90" spans="1:22" x14ac:dyDescent="0.25">
      <c r="H90" s="455"/>
      <c r="I90" s="456"/>
      <c r="J90" s="456"/>
      <c r="K90" s="456"/>
      <c r="L90" s="456"/>
      <c r="M90" s="456"/>
      <c r="N90" s="456"/>
      <c r="O90" s="456"/>
      <c r="P90" s="456"/>
      <c r="Q90" s="457"/>
    </row>
    <row r="91" spans="1:22" ht="15.75" thickBot="1" x14ac:dyDescent="0.3">
      <c r="H91" s="458"/>
      <c r="I91" s="459"/>
      <c r="J91" s="459"/>
      <c r="K91" s="459"/>
      <c r="L91" s="459"/>
      <c r="M91" s="459"/>
      <c r="N91" s="459"/>
      <c r="O91" s="459"/>
      <c r="P91" s="459"/>
      <c r="Q91" s="460"/>
    </row>
  </sheetData>
  <mergeCells count="381">
    <mergeCell ref="G81:J81"/>
    <mergeCell ref="G69:R69"/>
    <mergeCell ref="G70:L70"/>
    <mergeCell ref="M70:R70"/>
    <mergeCell ref="M71:O71"/>
    <mergeCell ref="M72:O72"/>
    <mergeCell ref="M73:P73"/>
    <mergeCell ref="M74:P74"/>
    <mergeCell ref="M75:P75"/>
    <mergeCell ref="M76:P76"/>
    <mergeCell ref="M77:P77"/>
    <mergeCell ref="M78:P78"/>
    <mergeCell ref="M79:P79"/>
    <mergeCell ref="M80:P80"/>
    <mergeCell ref="M81:P81"/>
    <mergeCell ref="A79:B79"/>
    <mergeCell ref="C79:D79"/>
    <mergeCell ref="A80:B80"/>
    <mergeCell ref="C80:D80"/>
    <mergeCell ref="G71:I71"/>
    <mergeCell ref="G72:I72"/>
    <mergeCell ref="G73:J73"/>
    <mergeCell ref="G74:J74"/>
    <mergeCell ref="G75:J75"/>
    <mergeCell ref="G76:J76"/>
    <mergeCell ref="G77:J77"/>
    <mergeCell ref="G78:J78"/>
    <mergeCell ref="G79:J79"/>
    <mergeCell ref="A78:B78"/>
    <mergeCell ref="C78:D78"/>
    <mergeCell ref="A77:B77"/>
    <mergeCell ref="C77:D77"/>
    <mergeCell ref="G80:J80"/>
    <mergeCell ref="H32:I32"/>
    <mergeCell ref="M31:R31"/>
    <mergeCell ref="N32:O32"/>
    <mergeCell ref="G35:K36"/>
    <mergeCell ref="G37:K38"/>
    <mergeCell ref="G39:K40"/>
    <mergeCell ref="L33:L34"/>
    <mergeCell ref="L35:L36"/>
    <mergeCell ref="L37:L38"/>
    <mergeCell ref="L39:L40"/>
    <mergeCell ref="M33:Q35"/>
    <mergeCell ref="M36:Q38"/>
    <mergeCell ref="M39:Q41"/>
    <mergeCell ref="R33:R35"/>
    <mergeCell ref="R36:R38"/>
    <mergeCell ref="R39:R41"/>
    <mergeCell ref="G41:K44"/>
    <mergeCell ref="L41:L44"/>
    <mergeCell ref="H30:I30"/>
    <mergeCell ref="G24:J24"/>
    <mergeCell ref="G20:H20"/>
    <mergeCell ref="L20:M20"/>
    <mergeCell ref="G23:H23"/>
    <mergeCell ref="L23:M23"/>
    <mergeCell ref="K24:R24"/>
    <mergeCell ref="K25:R25"/>
    <mergeCell ref="K26:R26"/>
    <mergeCell ref="K27:R27"/>
    <mergeCell ref="K28:R28"/>
    <mergeCell ref="K29:R29"/>
    <mergeCell ref="K30:R30"/>
    <mergeCell ref="Q21:R21"/>
    <mergeCell ref="G22:H22"/>
    <mergeCell ref="L22:M22"/>
    <mergeCell ref="N22:O22"/>
    <mergeCell ref="Q22:R22"/>
    <mergeCell ref="H25:I25"/>
    <mergeCell ref="H26:I26"/>
    <mergeCell ref="C19:D19"/>
    <mergeCell ref="C20:D20"/>
    <mergeCell ref="C21:D21"/>
    <mergeCell ref="C22:D22"/>
    <mergeCell ref="C23:D23"/>
    <mergeCell ref="A1:R5"/>
    <mergeCell ref="S1:V1"/>
    <mergeCell ref="Q23:R23"/>
    <mergeCell ref="H29:I29"/>
    <mergeCell ref="S79:U79"/>
    <mergeCell ref="S80:U80"/>
    <mergeCell ref="S81:U81"/>
    <mergeCell ref="D37:E37"/>
    <mergeCell ref="D38:E38"/>
    <mergeCell ref="D39:E39"/>
    <mergeCell ref="D40:E40"/>
    <mergeCell ref="D41:E41"/>
    <mergeCell ref="D42:E42"/>
    <mergeCell ref="D43:E43"/>
    <mergeCell ref="D44:E44"/>
    <mergeCell ref="G45:R45"/>
    <mergeCell ref="P49:R50"/>
    <mergeCell ref="P54:R54"/>
    <mergeCell ref="C59:F59"/>
    <mergeCell ref="C60:F60"/>
    <mergeCell ref="C56:F56"/>
    <mergeCell ref="C57:F57"/>
    <mergeCell ref="A50:F50"/>
    <mergeCell ref="M42:Q44"/>
    <mergeCell ref="R42:R44"/>
    <mergeCell ref="A37:C37"/>
    <mergeCell ref="A38:C40"/>
    <mergeCell ref="A41:C41"/>
    <mergeCell ref="A59:B59"/>
    <mergeCell ref="A60:B60"/>
    <mergeCell ref="V34:V48"/>
    <mergeCell ref="C69:D69"/>
    <mergeCell ref="J46:R46"/>
    <mergeCell ref="G46:I46"/>
    <mergeCell ref="A67:B67"/>
    <mergeCell ref="C67:D67"/>
    <mergeCell ref="A68:B68"/>
    <mergeCell ref="C68:D68"/>
    <mergeCell ref="A65:B65"/>
    <mergeCell ref="C65:D65"/>
    <mergeCell ref="A66:B66"/>
    <mergeCell ref="C66:D66"/>
    <mergeCell ref="A69:B69"/>
    <mergeCell ref="H48:I48"/>
    <mergeCell ref="J50:K50"/>
    <mergeCell ref="L49:M50"/>
    <mergeCell ref="N49:O50"/>
    <mergeCell ref="C52:F52"/>
    <mergeCell ref="C53:F53"/>
    <mergeCell ref="P47:R47"/>
    <mergeCell ref="J48:K48"/>
    <mergeCell ref="A49:C49"/>
    <mergeCell ref="Q13:R13"/>
    <mergeCell ref="Q15:R15"/>
    <mergeCell ref="A51:B51"/>
    <mergeCell ref="C51:F51"/>
    <mergeCell ref="A52:B52"/>
    <mergeCell ref="I6:I12"/>
    <mergeCell ref="K6:L6"/>
    <mergeCell ref="M6:N6"/>
    <mergeCell ref="O6:P6"/>
    <mergeCell ref="Q6:R6"/>
    <mergeCell ref="K7:L7"/>
    <mergeCell ref="M7:N7"/>
    <mergeCell ref="O7:P7"/>
    <mergeCell ref="Q7:R7"/>
    <mergeCell ref="K8:L8"/>
    <mergeCell ref="K10:L10"/>
    <mergeCell ref="M10:N10"/>
    <mergeCell ref="K9:L9"/>
    <mergeCell ref="M9:N9"/>
    <mergeCell ref="O9:P9"/>
    <mergeCell ref="M8:N8"/>
    <mergeCell ref="O8:P8"/>
    <mergeCell ref="Q8:R8"/>
    <mergeCell ref="Q9:R9"/>
    <mergeCell ref="O10:P10"/>
    <mergeCell ref="Q10:R10"/>
    <mergeCell ref="K11:L11"/>
    <mergeCell ref="D11:D12"/>
    <mergeCell ref="C11:C12"/>
    <mergeCell ref="B11:B12"/>
    <mergeCell ref="K12:L12"/>
    <mergeCell ref="M12:N12"/>
    <mergeCell ref="O12:P12"/>
    <mergeCell ref="Q12:R12"/>
    <mergeCell ref="M11:N11"/>
    <mergeCell ref="O11:P11"/>
    <mergeCell ref="Q11:R11"/>
    <mergeCell ref="G12:H12"/>
    <mergeCell ref="G11:H11"/>
    <mergeCell ref="A6:A12"/>
    <mergeCell ref="B7:D10"/>
    <mergeCell ref="E7:E9"/>
    <mergeCell ref="E10:E12"/>
    <mergeCell ref="B6:H6"/>
    <mergeCell ref="G16:H16"/>
    <mergeCell ref="G17:H17"/>
    <mergeCell ref="G18:H18"/>
    <mergeCell ref="B14:B21"/>
    <mergeCell ref="G13:H13"/>
    <mergeCell ref="G14:H14"/>
    <mergeCell ref="G15:H15"/>
    <mergeCell ref="G7:H7"/>
    <mergeCell ref="G19:H19"/>
    <mergeCell ref="G21:H21"/>
    <mergeCell ref="A13:A30"/>
    <mergeCell ref="C13:D13"/>
    <mergeCell ref="B22:B24"/>
    <mergeCell ref="B25:B29"/>
    <mergeCell ref="C14:D14"/>
    <mergeCell ref="C15:D15"/>
    <mergeCell ref="C16:D16"/>
    <mergeCell ref="C17:D17"/>
    <mergeCell ref="C18:D18"/>
    <mergeCell ref="V4:V18"/>
    <mergeCell ref="V19:V33"/>
    <mergeCell ref="V49:V78"/>
    <mergeCell ref="A75:B75"/>
    <mergeCell ref="C75:D75"/>
    <mergeCell ref="A76:B76"/>
    <mergeCell ref="C76:D76"/>
    <mergeCell ref="A72:B72"/>
    <mergeCell ref="C72:D72"/>
    <mergeCell ref="A73:B73"/>
    <mergeCell ref="C73:D73"/>
    <mergeCell ref="A74:B74"/>
    <mergeCell ref="C74:D74"/>
    <mergeCell ref="A70:B70"/>
    <mergeCell ref="C70:D70"/>
    <mergeCell ref="G8:H8"/>
    <mergeCell ref="G9:H9"/>
    <mergeCell ref="G10:H10"/>
    <mergeCell ref="J47:K47"/>
    <mergeCell ref="L47:M47"/>
    <mergeCell ref="P48:R48"/>
    <mergeCell ref="J49:K49"/>
    <mergeCell ref="Q14:R14"/>
    <mergeCell ref="A45:F45"/>
    <mergeCell ref="A32:B32"/>
    <mergeCell ref="A33:B33"/>
    <mergeCell ref="A34:B34"/>
    <mergeCell ref="A35:B35"/>
    <mergeCell ref="A36:B36"/>
    <mergeCell ref="A31:C31"/>
    <mergeCell ref="A46:C46"/>
    <mergeCell ref="A47:C47"/>
    <mergeCell ref="A48:C48"/>
    <mergeCell ref="A42:C44"/>
    <mergeCell ref="Q16:R16"/>
    <mergeCell ref="Q17:R17"/>
    <mergeCell ref="Q18:R18"/>
    <mergeCell ref="Q19:R19"/>
    <mergeCell ref="C54:F54"/>
    <mergeCell ref="C55:F55"/>
    <mergeCell ref="Q20:R20"/>
    <mergeCell ref="L21:M21"/>
    <mergeCell ref="N21:O21"/>
    <mergeCell ref="H47:I47"/>
    <mergeCell ref="H49:I50"/>
    <mergeCell ref="P55:R55"/>
    <mergeCell ref="P51:R51"/>
    <mergeCell ref="C24:D24"/>
    <mergeCell ref="C25:D25"/>
    <mergeCell ref="C26:D26"/>
    <mergeCell ref="C27:D27"/>
    <mergeCell ref="C28:D28"/>
    <mergeCell ref="C29:D29"/>
    <mergeCell ref="H27:I27"/>
    <mergeCell ref="H28:I28"/>
    <mergeCell ref="C30:D30"/>
    <mergeCell ref="L16:M16"/>
    <mergeCell ref="L17:M17"/>
    <mergeCell ref="N13:O13"/>
    <mergeCell ref="N14:O14"/>
    <mergeCell ref="N15:O15"/>
    <mergeCell ref="N16:O16"/>
    <mergeCell ref="N17:O17"/>
    <mergeCell ref="N18:O18"/>
    <mergeCell ref="J64:K64"/>
    <mergeCell ref="L64:M64"/>
    <mergeCell ref="N64:O64"/>
    <mergeCell ref="N47:O47"/>
    <mergeCell ref="J60:K60"/>
    <mergeCell ref="L60:M60"/>
    <mergeCell ref="N60:O60"/>
    <mergeCell ref="L54:M54"/>
    <mergeCell ref="N54:O54"/>
    <mergeCell ref="N55:O55"/>
    <mergeCell ref="J51:K51"/>
    <mergeCell ref="L51:M51"/>
    <mergeCell ref="N51:O51"/>
    <mergeCell ref="L13:M13"/>
    <mergeCell ref="L14:M14"/>
    <mergeCell ref="L15:M15"/>
    <mergeCell ref="L18:M18"/>
    <mergeCell ref="L19:M19"/>
    <mergeCell ref="A57:B57"/>
    <mergeCell ref="A53:B53"/>
    <mergeCell ref="A54:B54"/>
    <mergeCell ref="A55:B55"/>
    <mergeCell ref="A56:B56"/>
    <mergeCell ref="A58:B58"/>
    <mergeCell ref="C58:F58"/>
    <mergeCell ref="N19:O19"/>
    <mergeCell ref="N20:O20"/>
    <mergeCell ref="N23:O23"/>
    <mergeCell ref="D34:F34"/>
    <mergeCell ref="D35:F35"/>
    <mergeCell ref="D31:F31"/>
    <mergeCell ref="E32:F32"/>
    <mergeCell ref="D33:F33"/>
    <mergeCell ref="L56:M56"/>
    <mergeCell ref="N56:O56"/>
    <mergeCell ref="D36:F36"/>
    <mergeCell ref="L48:M48"/>
    <mergeCell ref="N48:O48"/>
    <mergeCell ref="G33:K34"/>
    <mergeCell ref="G31:L31"/>
    <mergeCell ref="G55:G68"/>
    <mergeCell ref="G47:G54"/>
    <mergeCell ref="J68:K68"/>
    <mergeCell ref="L68:M68"/>
    <mergeCell ref="N68:O68"/>
    <mergeCell ref="H62:I62"/>
    <mergeCell ref="H63:I63"/>
    <mergeCell ref="H64:I64"/>
    <mergeCell ref="N52:O52"/>
    <mergeCell ref="L55:M55"/>
    <mergeCell ref="H65:I65"/>
    <mergeCell ref="H66:I66"/>
    <mergeCell ref="H67:I67"/>
    <mergeCell ref="J52:K52"/>
    <mergeCell ref="H61:I61"/>
    <mergeCell ref="H52:I52"/>
    <mergeCell ref="H53:I53"/>
    <mergeCell ref="H54:I54"/>
    <mergeCell ref="H56:I56"/>
    <mergeCell ref="H57:I57"/>
    <mergeCell ref="H58:I58"/>
    <mergeCell ref="H59:I59"/>
    <mergeCell ref="J55:K55"/>
    <mergeCell ref="N67:O67"/>
    <mergeCell ref="J67:K67"/>
    <mergeCell ref="L67:M67"/>
    <mergeCell ref="P62:R62"/>
    <mergeCell ref="J63:K63"/>
    <mergeCell ref="L63:M63"/>
    <mergeCell ref="N63:O63"/>
    <mergeCell ref="P63:R63"/>
    <mergeCell ref="P56:R56"/>
    <mergeCell ref="J56:K56"/>
    <mergeCell ref="J57:K57"/>
    <mergeCell ref="L57:M57"/>
    <mergeCell ref="N57:O57"/>
    <mergeCell ref="P57:R57"/>
    <mergeCell ref="J58:K58"/>
    <mergeCell ref="L58:M58"/>
    <mergeCell ref="N58:O58"/>
    <mergeCell ref="P58:R58"/>
    <mergeCell ref="J59:K59"/>
    <mergeCell ref="L59:M59"/>
    <mergeCell ref="N59:O59"/>
    <mergeCell ref="P59:R59"/>
    <mergeCell ref="J62:K62"/>
    <mergeCell ref="N61:O61"/>
    <mergeCell ref="J61:K61"/>
    <mergeCell ref="N65:O65"/>
    <mergeCell ref="P65:R65"/>
    <mergeCell ref="J66:K66"/>
    <mergeCell ref="L66:M66"/>
    <mergeCell ref="N66:O66"/>
    <mergeCell ref="P66:R66"/>
    <mergeCell ref="P52:R52"/>
    <mergeCell ref="J53:K53"/>
    <mergeCell ref="L53:M53"/>
    <mergeCell ref="N53:O53"/>
    <mergeCell ref="P53:R53"/>
    <mergeCell ref="J54:K54"/>
    <mergeCell ref="L61:M61"/>
    <mergeCell ref="P61:R61"/>
    <mergeCell ref="A81:B81"/>
    <mergeCell ref="C81:D81"/>
    <mergeCell ref="X14:AG19"/>
    <mergeCell ref="H84:Q91"/>
    <mergeCell ref="P67:R67"/>
    <mergeCell ref="L62:M62"/>
    <mergeCell ref="N62:O62"/>
    <mergeCell ref="A61:B61"/>
    <mergeCell ref="A62:B62"/>
    <mergeCell ref="C62:D62"/>
    <mergeCell ref="A63:B63"/>
    <mergeCell ref="C63:D63"/>
    <mergeCell ref="A64:B64"/>
    <mergeCell ref="C64:D64"/>
    <mergeCell ref="P60:R60"/>
    <mergeCell ref="L52:M52"/>
    <mergeCell ref="H60:I60"/>
    <mergeCell ref="A71:B71"/>
    <mergeCell ref="C71:D71"/>
    <mergeCell ref="P68:R68"/>
    <mergeCell ref="H51:I51"/>
    <mergeCell ref="P64:R64"/>
    <mergeCell ref="J65:K65"/>
    <mergeCell ref="L65:M65"/>
  </mergeCells>
  <phoneticPr fontId="5" type="noConversion"/>
  <printOptions horizontalCentered="1" verticalCentered="1"/>
  <pageMargins left="0.25" right="0.25" top="0.75" bottom="0.75" header="0.3" footer="0.3"/>
  <pageSetup scale="52"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6CC11F82-153C-4F10-B07B-E576B5D99AAC}">
          <x14:formula1>
            <xm:f>Source_Data!$DQ$4:$DQ$66</xm:f>
          </x14:formula1>
          <xm:sqref>G14:H23</xm:sqref>
        </x14:dataValidation>
        <x14:dataValidation type="list" allowBlank="1" showInputMessage="1" showErrorMessage="1" xr:uid="{97619273-553E-457F-B94C-9D9200F81DEA}">
          <x14:formula1>
            <xm:f>Source_Data!$FS$4:$FS$27</xm:f>
          </x14:formula1>
          <xm:sqref>G70 M70</xm:sqref>
        </x14:dataValidation>
        <x14:dataValidation type="list" allowBlank="1" showInputMessage="1" showErrorMessage="1" xr:uid="{2FDA1079-A393-44A2-AC36-4233ADA031A7}">
          <x14:formula1>
            <xm:f>Source_Data!$FS$31:$FS$40</xm:f>
          </x14:formula1>
          <xm:sqref>G73:J81</xm:sqref>
        </x14:dataValidation>
        <x14:dataValidation type="list" allowBlank="1" showInputMessage="1" showErrorMessage="1" xr:uid="{59C3019B-F886-4167-9AF3-51E20707DCE8}">
          <x14:formula1>
            <xm:f>Source_Data!$FT$31:$FT$40</xm:f>
          </x14:formula1>
          <xm:sqref>M73:P81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96F12-3C92-4EF2-B16B-0DB8C227BFE9}">
  <sheetPr>
    <tabColor rgb="FFFF0000"/>
  </sheetPr>
  <dimension ref="A1:GE104"/>
  <sheetViews>
    <sheetView workbookViewId="0">
      <selection activeCell="CI38" sqref="G36:CI38"/>
    </sheetView>
  </sheetViews>
  <sheetFormatPr defaultRowHeight="15" x14ac:dyDescent="0.25"/>
  <cols>
    <col min="4" max="4" width="13.5703125" bestFit="1" customWidth="1"/>
    <col min="7" max="7" width="13.5703125" bestFit="1" customWidth="1"/>
    <col min="10" max="10" width="19.85546875" bestFit="1" customWidth="1"/>
    <col min="13" max="13" width="20.5703125" customWidth="1"/>
    <col min="14" max="48" width="5.7109375" customWidth="1"/>
    <col min="50" max="50" width="17.5703125" bestFit="1" customWidth="1"/>
    <col min="51" max="87" width="3.140625" customWidth="1"/>
    <col min="89" max="89" width="16.5703125" bestFit="1" customWidth="1"/>
    <col min="90" max="90" width="10.85546875" customWidth="1"/>
    <col min="101" max="105" width="10.85546875" customWidth="1"/>
    <col min="115" max="115" width="21.85546875" customWidth="1"/>
    <col min="152" max="166" width="9.140625" style="2"/>
    <col min="168" max="168" width="27.85546875" bestFit="1" customWidth="1"/>
    <col min="172" max="172" width="10.140625" bestFit="1" customWidth="1"/>
    <col min="175" max="175" width="18.5703125" style="2" customWidth="1"/>
    <col min="176" max="176" width="9.140625" style="1"/>
    <col min="177" max="187" width="9.140625" style="2"/>
  </cols>
  <sheetData>
    <row r="1" spans="1:187" x14ac:dyDescent="0.25">
      <c r="M1" s="18" t="s">
        <v>236</v>
      </c>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20"/>
      <c r="AX1" s="18" t="s">
        <v>288</v>
      </c>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20"/>
      <c r="CK1" s="18" t="s">
        <v>310</v>
      </c>
      <c r="CL1" s="19"/>
      <c r="CM1" s="19"/>
      <c r="CN1" s="19"/>
      <c r="CO1" s="19"/>
      <c r="CP1" s="19"/>
      <c r="CQ1" s="19"/>
      <c r="CR1" s="19"/>
      <c r="CS1" s="19"/>
      <c r="CT1" s="19"/>
      <c r="CU1" s="19"/>
      <c r="CV1" s="19"/>
      <c r="CW1" s="19"/>
      <c r="CX1" s="19"/>
      <c r="CY1" s="19"/>
      <c r="CZ1" s="19"/>
      <c r="DA1" s="19"/>
      <c r="DB1" s="19"/>
      <c r="DC1" s="19"/>
      <c r="DD1" s="19"/>
      <c r="DE1" s="19"/>
      <c r="DF1" s="19"/>
      <c r="DG1" s="19"/>
      <c r="DH1" s="19"/>
      <c r="DI1" s="19"/>
      <c r="DJ1" s="19"/>
      <c r="DK1" s="20"/>
      <c r="DM1" s="18" t="s">
        <v>385</v>
      </c>
      <c r="DN1" s="20"/>
      <c r="DQ1" s="18" t="s">
        <v>615</v>
      </c>
      <c r="DR1" s="19"/>
      <c r="DS1" s="19"/>
      <c r="DT1" s="19"/>
      <c r="DU1" s="19"/>
      <c r="DV1" s="19"/>
      <c r="DW1" s="19"/>
      <c r="DX1" s="20"/>
      <c r="DZ1" t="s">
        <v>437</v>
      </c>
    </row>
    <row r="2" spans="1:187" ht="15.75" thickBot="1" x14ac:dyDescent="0.3">
      <c r="M2" s="21"/>
      <c r="AV2" s="22"/>
      <c r="AX2" s="21"/>
      <c r="CI2" s="22"/>
      <c r="CK2" s="21"/>
      <c r="DF2" s="382" t="s">
        <v>352</v>
      </c>
      <c r="DG2" s="382"/>
      <c r="DH2" s="382" t="s">
        <v>12</v>
      </c>
      <c r="DI2" s="382"/>
      <c r="DJ2" s="1"/>
      <c r="DK2" s="22"/>
      <c r="DM2" s="21"/>
      <c r="DN2" s="22"/>
      <c r="DQ2" s="21"/>
      <c r="DX2" s="22"/>
      <c r="EB2" s="17"/>
    </row>
    <row r="3" spans="1:187" s="147" customFormat="1" ht="155.25" thickBot="1" x14ac:dyDescent="0.3">
      <c r="A3" s="146" t="s">
        <v>391</v>
      </c>
      <c r="B3" s="146" t="s">
        <v>28</v>
      </c>
      <c r="D3" s="147" t="s">
        <v>718</v>
      </c>
      <c r="G3" s="147" t="s">
        <v>719</v>
      </c>
      <c r="M3" s="148" t="s">
        <v>73</v>
      </c>
      <c r="N3" s="149" t="s">
        <v>287</v>
      </c>
      <c r="O3" s="149" t="s">
        <v>457</v>
      </c>
      <c r="P3" s="149" t="s">
        <v>80</v>
      </c>
      <c r="Q3" s="149" t="s">
        <v>85</v>
      </c>
      <c r="R3" s="149" t="s">
        <v>89</v>
      </c>
      <c r="S3" s="149" t="s">
        <v>95</v>
      </c>
      <c r="T3" s="149" t="s">
        <v>104</v>
      </c>
      <c r="U3" s="149" t="s">
        <v>109</v>
      </c>
      <c r="V3" s="149" t="s">
        <v>259</v>
      </c>
      <c r="W3" s="149" t="s">
        <v>260</v>
      </c>
      <c r="X3" s="149" t="s">
        <v>261</v>
      </c>
      <c r="Y3" s="149" t="s">
        <v>262</v>
      </c>
      <c r="Z3" s="149" t="s">
        <v>121</v>
      </c>
      <c r="AA3" s="149" t="s">
        <v>127</v>
      </c>
      <c r="AB3" s="149" t="s">
        <v>138</v>
      </c>
      <c r="AC3" s="149" t="s">
        <v>141</v>
      </c>
      <c r="AD3" s="149" t="s">
        <v>263</v>
      </c>
      <c r="AE3" s="149" t="s">
        <v>152</v>
      </c>
      <c r="AF3" s="149" t="s">
        <v>164</v>
      </c>
      <c r="AG3" s="149" t="s">
        <v>168</v>
      </c>
      <c r="AH3" s="149" t="s">
        <v>172</v>
      </c>
      <c r="AI3" s="149" t="s">
        <v>177</v>
      </c>
      <c r="AJ3" s="149" t="s">
        <v>183</v>
      </c>
      <c r="AK3" s="149" t="s">
        <v>189</v>
      </c>
      <c r="AL3" s="149" t="s">
        <v>197</v>
      </c>
      <c r="AM3" s="149" t="s">
        <v>203</v>
      </c>
      <c r="AN3" s="149" t="s">
        <v>264</v>
      </c>
      <c r="AO3" s="149" t="s">
        <v>265</v>
      </c>
      <c r="AP3" s="149" t="s">
        <v>266</v>
      </c>
      <c r="AQ3" s="149" t="s">
        <v>267</v>
      </c>
      <c r="AR3" s="149" t="s">
        <v>268</v>
      </c>
      <c r="AS3" s="149" t="s">
        <v>269</v>
      </c>
      <c r="AT3" s="149" t="s">
        <v>212</v>
      </c>
      <c r="AU3" s="149" t="s">
        <v>218</v>
      </c>
      <c r="AV3" s="150" t="s">
        <v>224</v>
      </c>
      <c r="AX3" s="148" t="s">
        <v>289</v>
      </c>
      <c r="AY3" s="252" t="s">
        <v>287</v>
      </c>
      <c r="AZ3" s="252" t="s">
        <v>81</v>
      </c>
      <c r="BA3" s="252" t="s">
        <v>82</v>
      </c>
      <c r="BB3" s="252" t="s">
        <v>86</v>
      </c>
      <c r="BC3" s="252" t="s">
        <v>87</v>
      </c>
      <c r="BD3" s="252" t="s">
        <v>300</v>
      </c>
      <c r="BE3" s="252" t="s">
        <v>105</v>
      </c>
      <c r="BF3" s="252" t="s">
        <v>301</v>
      </c>
      <c r="BG3" s="252" t="s">
        <v>117</v>
      </c>
      <c r="BH3" s="252" t="s">
        <v>302</v>
      </c>
      <c r="BI3" s="252" t="s">
        <v>303</v>
      </c>
      <c r="BJ3" s="252" t="s">
        <v>304</v>
      </c>
      <c r="BK3" s="252" t="s">
        <v>305</v>
      </c>
      <c r="BL3" s="253" t="s">
        <v>139</v>
      </c>
      <c r="BM3" s="252" t="s">
        <v>142</v>
      </c>
      <c r="BN3" s="252" t="s">
        <v>143</v>
      </c>
      <c r="BO3" s="252" t="s">
        <v>144</v>
      </c>
      <c r="BP3" s="252" t="s">
        <v>147</v>
      </c>
      <c r="BQ3" s="252" t="s">
        <v>149</v>
      </c>
      <c r="BR3" s="252" t="s">
        <v>306</v>
      </c>
      <c r="BS3" s="252" t="s">
        <v>307</v>
      </c>
      <c r="BT3" s="252" t="s">
        <v>308</v>
      </c>
      <c r="BU3" s="252" t="s">
        <v>158</v>
      </c>
      <c r="BV3" s="252" t="s">
        <v>309</v>
      </c>
      <c r="BW3" s="252" t="s">
        <v>169</v>
      </c>
      <c r="BX3" s="252" t="s">
        <v>170</v>
      </c>
      <c r="BY3" s="253" t="s">
        <v>171</v>
      </c>
      <c r="BZ3" s="253" t="s">
        <v>174</v>
      </c>
      <c r="CA3" s="252" t="s">
        <v>178</v>
      </c>
      <c r="CB3" s="253" t="s">
        <v>179</v>
      </c>
      <c r="CC3" s="252" t="s">
        <v>180</v>
      </c>
      <c r="CD3" s="252" t="s">
        <v>181</v>
      </c>
      <c r="CE3" s="252" t="s">
        <v>204</v>
      </c>
      <c r="CF3" s="252" t="s">
        <v>207</v>
      </c>
      <c r="CG3" s="252" t="s">
        <v>208</v>
      </c>
      <c r="CH3" s="252" t="s">
        <v>214</v>
      </c>
      <c r="CI3" s="151" t="s">
        <v>215</v>
      </c>
      <c r="CK3" s="148" t="s">
        <v>7</v>
      </c>
      <c r="CL3" s="146" t="s">
        <v>311</v>
      </c>
      <c r="CM3" s="146" t="s">
        <v>312</v>
      </c>
      <c r="CN3" s="146" t="s">
        <v>68</v>
      </c>
      <c r="CO3" s="146" t="s">
        <v>66</v>
      </c>
      <c r="CP3" s="146" t="s">
        <v>65</v>
      </c>
      <c r="CQ3" s="146" t="s">
        <v>313</v>
      </c>
      <c r="CR3" s="146" t="s">
        <v>67</v>
      </c>
      <c r="CS3" s="146" t="s">
        <v>314</v>
      </c>
      <c r="CT3" s="146" t="s">
        <v>315</v>
      </c>
      <c r="CU3" s="146" t="s">
        <v>69</v>
      </c>
      <c r="CV3" s="146" t="s">
        <v>316</v>
      </c>
      <c r="CW3" s="146" t="s">
        <v>60</v>
      </c>
      <c r="CX3" s="146" t="s">
        <v>61</v>
      </c>
      <c r="CY3" s="146" t="s">
        <v>62</v>
      </c>
      <c r="CZ3" s="146" t="s">
        <v>63</v>
      </c>
      <c r="DA3" s="146" t="s">
        <v>47</v>
      </c>
      <c r="DB3" s="146" t="s">
        <v>317</v>
      </c>
      <c r="DC3" s="146" t="s">
        <v>70</v>
      </c>
      <c r="DD3" s="146" t="s">
        <v>31</v>
      </c>
      <c r="DE3" s="146" t="s">
        <v>43</v>
      </c>
      <c r="DF3" s="146" t="s">
        <v>32</v>
      </c>
      <c r="DG3" s="146" t="s">
        <v>351</v>
      </c>
      <c r="DH3" s="146" t="s">
        <v>32</v>
      </c>
      <c r="DI3" s="146" t="s">
        <v>351</v>
      </c>
      <c r="DJ3" s="146" t="s">
        <v>387</v>
      </c>
      <c r="DK3" s="152" t="s">
        <v>353</v>
      </c>
      <c r="DM3" s="153" t="s">
        <v>386</v>
      </c>
      <c r="DN3" s="152" t="s">
        <v>28</v>
      </c>
      <c r="DQ3" s="148" t="s">
        <v>597</v>
      </c>
      <c r="DR3" s="146" t="s">
        <v>404</v>
      </c>
      <c r="DS3" s="146" t="s">
        <v>402</v>
      </c>
      <c r="DT3" s="146" t="s">
        <v>647</v>
      </c>
      <c r="DU3" s="146" t="s">
        <v>616</v>
      </c>
      <c r="DV3" s="147" t="s">
        <v>289</v>
      </c>
      <c r="DW3" s="146" t="s">
        <v>31</v>
      </c>
      <c r="DX3" s="154" t="s">
        <v>403</v>
      </c>
      <c r="DZ3" s="147" t="s">
        <v>74</v>
      </c>
      <c r="EA3" s="147" t="s">
        <v>55</v>
      </c>
      <c r="EB3" s="155" t="s">
        <v>14</v>
      </c>
      <c r="EC3" s="147" t="s">
        <v>438</v>
      </c>
      <c r="ED3" s="147" t="s">
        <v>439</v>
      </c>
      <c r="EE3" s="147" t="s">
        <v>118</v>
      </c>
      <c r="EF3" s="147" t="s">
        <v>86</v>
      </c>
      <c r="EI3" s="147" t="s">
        <v>74</v>
      </c>
      <c r="EJ3" s="147" t="s">
        <v>57</v>
      </c>
      <c r="EK3" s="155" t="s">
        <v>12</v>
      </c>
      <c r="EL3" s="147" t="s">
        <v>438</v>
      </c>
      <c r="EM3" s="147" t="s">
        <v>412</v>
      </c>
      <c r="ER3" s="147" t="s">
        <v>458</v>
      </c>
      <c r="EU3" s="147" t="s">
        <v>9</v>
      </c>
      <c r="EV3" s="175">
        <v>1</v>
      </c>
      <c r="EW3" s="175">
        <v>2</v>
      </c>
      <c r="EX3" s="175">
        <v>3</v>
      </c>
      <c r="EY3" s="175">
        <v>4</v>
      </c>
      <c r="EZ3" s="175">
        <v>5</v>
      </c>
      <c r="FA3" s="175">
        <v>6</v>
      </c>
      <c r="FB3" s="175">
        <v>7</v>
      </c>
      <c r="FC3" s="175">
        <v>8</v>
      </c>
      <c r="FD3" s="175">
        <v>9</v>
      </c>
      <c r="FE3" s="175">
        <v>10</v>
      </c>
      <c r="FF3" s="175">
        <v>11</v>
      </c>
      <c r="FG3" s="175">
        <v>12</v>
      </c>
      <c r="FH3" s="175">
        <v>13</v>
      </c>
      <c r="FI3" s="175">
        <v>14</v>
      </c>
      <c r="FJ3" s="175">
        <v>15</v>
      </c>
      <c r="FL3" s="255" t="s">
        <v>841</v>
      </c>
      <c r="FM3" s="256" t="s">
        <v>844</v>
      </c>
      <c r="FN3" s="256" t="s">
        <v>843</v>
      </c>
      <c r="FO3" s="256" t="s">
        <v>587</v>
      </c>
      <c r="FP3" s="257" t="s">
        <v>845</v>
      </c>
      <c r="FS3" s="175"/>
      <c r="FT3" s="146" t="s">
        <v>957</v>
      </c>
      <c r="FU3" s="146">
        <v>1</v>
      </c>
      <c r="FV3" s="146">
        <v>2</v>
      </c>
      <c r="FW3" s="146">
        <v>3</v>
      </c>
      <c r="FX3" s="146">
        <v>4</v>
      </c>
      <c r="FY3" s="146">
        <v>5</v>
      </c>
      <c r="FZ3" s="146">
        <v>6</v>
      </c>
      <c r="GA3" s="146">
        <v>7</v>
      </c>
      <c r="GB3" s="146">
        <v>8</v>
      </c>
      <c r="GC3" s="146">
        <v>9</v>
      </c>
      <c r="GD3" s="146">
        <v>0</v>
      </c>
      <c r="GE3" s="146">
        <v>10</v>
      </c>
    </row>
    <row r="4" spans="1:187" ht="15" customHeight="1" x14ac:dyDescent="0.25">
      <c r="A4" s="1">
        <v>0</v>
      </c>
      <c r="B4" s="1">
        <v>-25</v>
      </c>
      <c r="D4" s="18" t="s">
        <v>237</v>
      </c>
      <c r="E4" s="38">
        <v>1</v>
      </c>
      <c r="G4" s="18" t="s">
        <v>696</v>
      </c>
      <c r="H4" s="38">
        <v>1</v>
      </c>
      <c r="J4" s="76" t="s">
        <v>520</v>
      </c>
      <c r="K4" s="20"/>
      <c r="M4" s="21" t="s">
        <v>237</v>
      </c>
      <c r="N4" s="1">
        <v>1</v>
      </c>
      <c r="O4" s="1">
        <v>0</v>
      </c>
      <c r="P4" s="1" t="s">
        <v>270</v>
      </c>
      <c r="Q4" s="1" t="s">
        <v>270</v>
      </c>
      <c r="R4" s="1" t="s">
        <v>272</v>
      </c>
      <c r="S4" s="1" t="s">
        <v>275</v>
      </c>
      <c r="T4" s="1" t="s">
        <v>274</v>
      </c>
      <c r="U4" s="1" t="s">
        <v>272</v>
      </c>
      <c r="V4" s="1" t="s">
        <v>274</v>
      </c>
      <c r="W4" s="1" t="s">
        <v>272</v>
      </c>
      <c r="X4" s="1" t="s">
        <v>279</v>
      </c>
      <c r="Y4" s="1" t="s">
        <v>277</v>
      </c>
      <c r="Z4" s="1" t="s">
        <v>270</v>
      </c>
      <c r="AA4" s="1" t="s">
        <v>270</v>
      </c>
      <c r="AB4" s="1" t="s">
        <v>275</v>
      </c>
      <c r="AC4" s="1" t="s">
        <v>274</v>
      </c>
      <c r="AD4" s="1" t="s">
        <v>274</v>
      </c>
      <c r="AE4" s="1" t="s">
        <v>273</v>
      </c>
      <c r="AF4" s="1" t="s">
        <v>275</v>
      </c>
      <c r="AG4" s="1" t="s">
        <v>274</v>
      </c>
      <c r="AH4" s="1" t="s">
        <v>274</v>
      </c>
      <c r="AI4" s="1" t="s">
        <v>270</v>
      </c>
      <c r="AJ4" s="1" t="s">
        <v>270</v>
      </c>
      <c r="AK4" s="1" t="s">
        <v>275</v>
      </c>
      <c r="AL4" s="1" t="s">
        <v>275</v>
      </c>
      <c r="AM4" s="1" t="s">
        <v>270</v>
      </c>
      <c r="AN4" s="1" t="s">
        <v>275</v>
      </c>
      <c r="AO4" s="1" t="s">
        <v>275</v>
      </c>
      <c r="AP4" s="1" t="s">
        <v>279</v>
      </c>
      <c r="AQ4" s="1" t="s">
        <v>277</v>
      </c>
      <c r="AR4" s="1" t="s">
        <v>281</v>
      </c>
      <c r="AS4" s="1" t="s">
        <v>281</v>
      </c>
      <c r="AT4" s="1" t="s">
        <v>272</v>
      </c>
      <c r="AU4" s="1" t="s">
        <v>272</v>
      </c>
      <c r="AV4" s="11" t="s">
        <v>274</v>
      </c>
      <c r="AX4" s="21" t="s">
        <v>696</v>
      </c>
      <c r="AY4">
        <v>1</v>
      </c>
      <c r="CI4" s="22"/>
      <c r="CK4" s="21" t="s">
        <v>287</v>
      </c>
      <c r="CL4" s="1">
        <v>1</v>
      </c>
      <c r="CM4" s="1">
        <v>2</v>
      </c>
      <c r="CN4" s="1">
        <v>3</v>
      </c>
      <c r="CO4" s="1">
        <v>4</v>
      </c>
      <c r="CP4" s="1">
        <v>5</v>
      </c>
      <c r="CQ4" s="1">
        <v>6</v>
      </c>
      <c r="CR4" s="1">
        <v>7</v>
      </c>
      <c r="CS4" s="1">
        <v>8</v>
      </c>
      <c r="CT4" s="1">
        <v>9</v>
      </c>
      <c r="CU4" s="1">
        <v>10</v>
      </c>
      <c r="CV4" s="1">
        <v>11</v>
      </c>
      <c r="CW4" s="1">
        <v>12</v>
      </c>
      <c r="CX4" s="1">
        <v>13</v>
      </c>
      <c r="CY4" s="1">
        <v>14</v>
      </c>
      <c r="CZ4" s="1">
        <v>15</v>
      </c>
      <c r="DA4" s="1">
        <v>16</v>
      </c>
      <c r="DB4" s="1">
        <v>17</v>
      </c>
      <c r="DC4" s="1">
        <v>18</v>
      </c>
      <c r="DD4" s="1">
        <v>19</v>
      </c>
      <c r="DE4" s="1">
        <v>20</v>
      </c>
      <c r="DF4" s="1">
        <v>21</v>
      </c>
      <c r="DG4" s="1">
        <v>22</v>
      </c>
      <c r="DH4" s="1">
        <v>23</v>
      </c>
      <c r="DI4" s="1">
        <v>24</v>
      </c>
      <c r="DJ4" s="1">
        <v>25</v>
      </c>
      <c r="DK4" s="11">
        <v>25</v>
      </c>
      <c r="DM4" s="16">
        <v>0</v>
      </c>
      <c r="DN4" s="35">
        <v>-20</v>
      </c>
      <c r="DQ4" s="21" t="s">
        <v>619</v>
      </c>
      <c r="DR4" s="1">
        <v>4</v>
      </c>
      <c r="DS4" s="1">
        <v>70</v>
      </c>
      <c r="DT4" s="1" t="s">
        <v>94</v>
      </c>
      <c r="DU4" s="1" t="s">
        <v>94</v>
      </c>
      <c r="DV4" t="s">
        <v>415</v>
      </c>
      <c r="DW4" s="1">
        <v>0</v>
      </c>
      <c r="DX4" s="22" t="s">
        <v>619</v>
      </c>
      <c r="DZ4" s="18" t="s">
        <v>401</v>
      </c>
      <c r="EA4" s="19">
        <v>1</v>
      </c>
      <c r="EB4" s="53">
        <v>0</v>
      </c>
      <c r="EC4" s="54">
        <v>0</v>
      </c>
      <c r="ED4" s="55">
        <v>0</v>
      </c>
      <c r="EE4" s="55">
        <v>0</v>
      </c>
      <c r="EF4" s="55">
        <v>0</v>
      </c>
      <c r="EG4" s="770" t="s">
        <v>448</v>
      </c>
      <c r="EH4" s="52"/>
      <c r="EI4" s="18" t="s">
        <v>401</v>
      </c>
      <c r="EJ4" s="55">
        <v>0</v>
      </c>
      <c r="EK4" s="54">
        <v>0</v>
      </c>
      <c r="EL4" s="54">
        <v>0</v>
      </c>
      <c r="EM4" s="54">
        <v>0</v>
      </c>
      <c r="EN4" s="55"/>
      <c r="EO4" s="55"/>
      <c r="EP4" s="770" t="s">
        <v>452</v>
      </c>
      <c r="ER4" s="64" t="s">
        <v>60</v>
      </c>
      <c r="ES4" t="e">
        <f>IN</f>
        <v>#N/A</v>
      </c>
      <c r="EU4" s="18" t="s">
        <v>237</v>
      </c>
      <c r="EV4" s="133"/>
      <c r="EW4" s="133"/>
      <c r="EX4" s="133"/>
      <c r="EY4" s="133"/>
      <c r="EZ4" s="133"/>
      <c r="FA4" s="133"/>
      <c r="FB4" s="133"/>
      <c r="FC4" s="133"/>
      <c r="FD4" s="133"/>
      <c r="FE4" s="133"/>
      <c r="FF4" s="133"/>
      <c r="FG4" s="133"/>
      <c r="FH4" s="133"/>
      <c r="FI4" s="133"/>
      <c r="FJ4" s="227"/>
      <c r="FL4" s="21" t="s">
        <v>842</v>
      </c>
      <c r="FM4" s="1">
        <v>4</v>
      </c>
      <c r="FN4" s="1" t="s">
        <v>846</v>
      </c>
      <c r="FO4" s="1"/>
      <c r="FP4" s="11"/>
      <c r="FQ4">
        <v>1</v>
      </c>
      <c r="FR4" s="773" t="s">
        <v>943</v>
      </c>
      <c r="FS4" s="132" t="s">
        <v>950</v>
      </c>
      <c r="FT4" s="83">
        <f>Skills!B4</f>
        <v>0</v>
      </c>
      <c r="FU4" s="133" t="s">
        <v>847</v>
      </c>
      <c r="FV4" s="133" t="s">
        <v>862</v>
      </c>
      <c r="FW4" s="133" t="s">
        <v>876</v>
      </c>
      <c r="FX4" s="133" t="s">
        <v>877</v>
      </c>
      <c r="FY4" s="133" t="s">
        <v>879</v>
      </c>
      <c r="FZ4" s="133" t="s">
        <v>886</v>
      </c>
      <c r="GA4" s="133" t="s">
        <v>899</v>
      </c>
      <c r="GB4" s="133" t="s">
        <v>908</v>
      </c>
      <c r="GC4" s="133" t="s">
        <v>944</v>
      </c>
      <c r="GD4" s="133"/>
      <c r="GE4" s="227"/>
    </row>
    <row r="5" spans="1:187" ht="15" customHeight="1" x14ac:dyDescent="0.25">
      <c r="A5" s="1">
        <v>1</v>
      </c>
      <c r="B5" s="1">
        <f>5*A5</f>
        <v>5</v>
      </c>
      <c r="D5" s="21" t="s">
        <v>238</v>
      </c>
      <c r="E5" s="11">
        <v>2</v>
      </c>
      <c r="G5" s="21" t="s">
        <v>700</v>
      </c>
      <c r="H5" s="11">
        <v>2</v>
      </c>
      <c r="J5" s="21" t="s">
        <v>16</v>
      </c>
      <c r="K5" s="77">
        <f>VLOOKUP(Main!D13,Stat_Bonus,2,FALSE)</f>
        <v>-20</v>
      </c>
      <c r="M5" s="21" t="s">
        <v>238</v>
      </c>
      <c r="N5" s="1">
        <v>2</v>
      </c>
      <c r="O5" s="1">
        <v>0</v>
      </c>
      <c r="P5" s="1" t="s">
        <v>271</v>
      </c>
      <c r="Q5" s="1" t="s">
        <v>270</v>
      </c>
      <c r="R5" s="1" t="s">
        <v>276</v>
      </c>
      <c r="S5" s="1" t="s">
        <v>275</v>
      </c>
      <c r="T5" s="1" t="s">
        <v>273</v>
      </c>
      <c r="U5" s="1" t="s">
        <v>273</v>
      </c>
      <c r="V5" s="1" t="s">
        <v>276</v>
      </c>
      <c r="W5" s="1" t="s">
        <v>276</v>
      </c>
      <c r="X5" s="1" t="s">
        <v>271</v>
      </c>
      <c r="Y5" s="1" t="s">
        <v>274</v>
      </c>
      <c r="Z5" s="1" t="s">
        <v>274</v>
      </c>
      <c r="AA5" s="1" t="s">
        <v>270</v>
      </c>
      <c r="AB5" s="1" t="s">
        <v>277</v>
      </c>
      <c r="AC5" s="1" t="s">
        <v>270</v>
      </c>
      <c r="AD5" s="1" t="s">
        <v>274</v>
      </c>
      <c r="AE5" s="1" t="s">
        <v>270</v>
      </c>
      <c r="AF5" s="1" t="s">
        <v>277</v>
      </c>
      <c r="AG5" s="1" t="s">
        <v>274</v>
      </c>
      <c r="AH5" s="1" t="s">
        <v>279</v>
      </c>
      <c r="AI5" s="1" t="s">
        <v>270</v>
      </c>
      <c r="AJ5" s="1" t="s">
        <v>274</v>
      </c>
      <c r="AK5" s="1" t="s">
        <v>282</v>
      </c>
      <c r="AL5" s="1" t="s">
        <v>279</v>
      </c>
      <c r="AM5" s="1" t="s">
        <v>270</v>
      </c>
      <c r="AN5" s="1" t="s">
        <v>277</v>
      </c>
      <c r="AO5" s="1" t="s">
        <v>277</v>
      </c>
      <c r="AP5" s="1" t="s">
        <v>282</v>
      </c>
      <c r="AQ5" s="1" t="s">
        <v>281</v>
      </c>
      <c r="AR5" s="1" t="s">
        <v>281</v>
      </c>
      <c r="AS5" s="1" t="s">
        <v>281</v>
      </c>
      <c r="AT5" s="1" t="s">
        <v>272</v>
      </c>
      <c r="AU5" s="1" t="s">
        <v>279</v>
      </c>
      <c r="AV5" s="11" t="s">
        <v>274</v>
      </c>
      <c r="AX5" s="21" t="s">
        <v>700</v>
      </c>
      <c r="AY5">
        <v>2</v>
      </c>
      <c r="AZ5">
        <v>2</v>
      </c>
      <c r="BB5">
        <v>2</v>
      </c>
      <c r="BE5">
        <v>1</v>
      </c>
      <c r="BG5">
        <v>1</v>
      </c>
      <c r="BI5">
        <v>1</v>
      </c>
      <c r="BJ5">
        <v>2</v>
      </c>
      <c r="BK5">
        <v>4</v>
      </c>
      <c r="BM5">
        <v>1</v>
      </c>
      <c r="BO5">
        <v>2</v>
      </c>
      <c r="BR5">
        <v>13</v>
      </c>
      <c r="BS5">
        <v>5</v>
      </c>
      <c r="BV5">
        <v>4</v>
      </c>
      <c r="BW5">
        <v>1</v>
      </c>
      <c r="BX5">
        <v>1</v>
      </c>
      <c r="CA5">
        <v>1</v>
      </c>
      <c r="CB5">
        <v>2</v>
      </c>
      <c r="CC5">
        <v>1</v>
      </c>
      <c r="CE5">
        <v>1</v>
      </c>
      <c r="CF5">
        <v>1</v>
      </c>
      <c r="CI5" s="22"/>
      <c r="CK5" s="21" t="s">
        <v>318</v>
      </c>
      <c r="CL5" s="26">
        <v>35</v>
      </c>
      <c r="CM5" s="26">
        <v>4</v>
      </c>
      <c r="CN5" s="26">
        <v>-1</v>
      </c>
      <c r="CO5" s="26">
        <v>-2</v>
      </c>
      <c r="CP5" s="26">
        <v>0</v>
      </c>
      <c r="CQ5" s="26">
        <v>-2</v>
      </c>
      <c r="CR5" s="26">
        <v>-1</v>
      </c>
      <c r="CS5" s="26">
        <v>3</v>
      </c>
      <c r="CT5" s="26">
        <v>0</v>
      </c>
      <c r="CU5" s="26">
        <v>2</v>
      </c>
      <c r="CV5" s="26">
        <v>-2</v>
      </c>
      <c r="CW5" s="26">
        <v>5</v>
      </c>
      <c r="CX5" s="26">
        <v>5</v>
      </c>
      <c r="CY5" s="26">
        <v>5</v>
      </c>
      <c r="CZ5" s="26">
        <v>-10</v>
      </c>
      <c r="DA5" s="26">
        <v>0</v>
      </c>
      <c r="DB5" s="26">
        <v>20</v>
      </c>
      <c r="DC5" s="28">
        <v>1</v>
      </c>
      <c r="DD5" s="1" t="s">
        <v>354</v>
      </c>
      <c r="DE5" s="26">
        <v>0</v>
      </c>
      <c r="DF5" s="1">
        <v>70</v>
      </c>
      <c r="DG5" s="1">
        <v>65</v>
      </c>
      <c r="DH5" s="1">
        <v>120</v>
      </c>
      <c r="DI5" s="1">
        <v>98</v>
      </c>
      <c r="DJ5" s="1">
        <v>4</v>
      </c>
      <c r="DK5" s="29" t="s">
        <v>355</v>
      </c>
      <c r="DM5" s="16">
        <v>1</v>
      </c>
      <c r="DN5" s="35">
        <v>-15</v>
      </c>
      <c r="DQ5" s="21" t="s">
        <v>634</v>
      </c>
      <c r="DR5" s="1">
        <v>5</v>
      </c>
      <c r="DS5" s="1">
        <v>55</v>
      </c>
      <c r="DT5" s="1" t="s">
        <v>94</v>
      </c>
      <c r="DU5" s="1" t="s">
        <v>94</v>
      </c>
      <c r="DV5" t="s">
        <v>417</v>
      </c>
      <c r="DW5" s="1">
        <v>0</v>
      </c>
      <c r="DX5" s="22" t="s">
        <v>634</v>
      </c>
      <c r="DZ5" s="21" t="s">
        <v>440</v>
      </c>
      <c r="EA5">
        <v>2</v>
      </c>
      <c r="EB5" s="56">
        <v>0.02</v>
      </c>
      <c r="EC5" s="57">
        <v>30</v>
      </c>
      <c r="ED5" s="51">
        <v>-5</v>
      </c>
      <c r="EE5" s="58">
        <v>0</v>
      </c>
      <c r="EF5" s="58">
        <v>0</v>
      </c>
      <c r="EG5" s="771"/>
      <c r="EH5" s="51"/>
      <c r="EI5" s="21" t="s">
        <v>453</v>
      </c>
      <c r="EJ5" s="51">
        <v>15</v>
      </c>
      <c r="EK5" s="57">
        <v>4</v>
      </c>
      <c r="EL5" s="57">
        <v>65</v>
      </c>
      <c r="EM5">
        <v>1</v>
      </c>
      <c r="EN5" s="58"/>
      <c r="EO5" s="58"/>
      <c r="EP5" s="771"/>
      <c r="ER5" s="65" t="s">
        <v>61</v>
      </c>
      <c r="ES5" t="e">
        <f>EM</f>
        <v>#N/A</v>
      </c>
      <c r="EU5" s="21" t="s">
        <v>238</v>
      </c>
      <c r="EV5" s="2" t="s">
        <v>82</v>
      </c>
      <c r="EW5" s="2" t="s">
        <v>105</v>
      </c>
      <c r="EX5" s="2" t="s">
        <v>106</v>
      </c>
      <c r="EY5" s="2" t="s">
        <v>301</v>
      </c>
      <c r="EZ5" s="2" t="s">
        <v>300</v>
      </c>
      <c r="FA5" s="2" t="s">
        <v>90</v>
      </c>
      <c r="FB5" s="2" t="s">
        <v>91</v>
      </c>
      <c r="FC5" s="2" t="s">
        <v>111</v>
      </c>
      <c r="FD5" s="2" t="s">
        <v>113</v>
      </c>
      <c r="FE5" s="2" t="s">
        <v>302</v>
      </c>
      <c r="FF5" s="2" t="s">
        <v>303</v>
      </c>
      <c r="FG5" s="2" t="s">
        <v>53</v>
      </c>
      <c r="FH5" s="2" t="s">
        <v>132</v>
      </c>
      <c r="FI5" s="2" t="s">
        <v>180</v>
      </c>
      <c r="FJ5" s="127" t="s">
        <v>206</v>
      </c>
      <c r="FL5" s="128" t="s">
        <v>847</v>
      </c>
      <c r="FM5" s="1">
        <v>4</v>
      </c>
      <c r="FN5" s="1" t="s">
        <v>846</v>
      </c>
      <c r="FO5" s="1"/>
      <c r="FP5" s="11"/>
      <c r="FQ5">
        <v>2</v>
      </c>
      <c r="FR5" s="773"/>
      <c r="FS5" s="128" t="s">
        <v>818</v>
      </c>
      <c r="FT5" s="1">
        <f>Skills!B5</f>
        <v>0</v>
      </c>
      <c r="FU5" s="2" t="s">
        <v>848</v>
      </c>
      <c r="FV5" s="2" t="s">
        <v>892</v>
      </c>
      <c r="FW5" s="2" t="s">
        <v>849</v>
      </c>
      <c r="FX5" s="2" t="s">
        <v>895</v>
      </c>
      <c r="FY5" s="2" t="s">
        <v>855</v>
      </c>
      <c r="FZ5" s="2" t="s">
        <v>906</v>
      </c>
      <c r="GA5" s="2" t="s">
        <v>864</v>
      </c>
      <c r="GB5" s="2" t="s">
        <v>907</v>
      </c>
      <c r="GC5" s="2" t="s">
        <v>884</v>
      </c>
      <c r="GD5" s="2" t="s">
        <v>932</v>
      </c>
      <c r="GE5" s="127" t="s">
        <v>889</v>
      </c>
    </row>
    <row r="6" spans="1:187" ht="15" customHeight="1" x14ac:dyDescent="0.25">
      <c r="A6" s="1">
        <v>2</v>
      </c>
      <c r="B6" s="1">
        <f t="shared" ref="B6:B14" si="0">5*A6</f>
        <v>10</v>
      </c>
      <c r="D6" s="21" t="s">
        <v>239</v>
      </c>
      <c r="E6" s="11">
        <v>3</v>
      </c>
      <c r="G6" s="21" t="s">
        <v>701</v>
      </c>
      <c r="H6" s="11">
        <v>3</v>
      </c>
      <c r="J6" s="21" t="s">
        <v>17</v>
      </c>
      <c r="K6" s="77">
        <f>VLOOKUP(Main!D14,Stat_Bonus,2,FALSE)</f>
        <v>-20</v>
      </c>
      <c r="M6" s="21" t="s">
        <v>239</v>
      </c>
      <c r="N6" s="1">
        <v>3</v>
      </c>
      <c r="O6" s="1">
        <v>0</v>
      </c>
      <c r="P6" s="1" t="s">
        <v>272</v>
      </c>
      <c r="Q6" s="1" t="s">
        <v>270</v>
      </c>
      <c r="R6" s="1" t="s">
        <v>272</v>
      </c>
      <c r="S6" s="1" t="s">
        <v>273</v>
      </c>
      <c r="T6" s="1" t="s">
        <v>274</v>
      </c>
      <c r="U6" s="1" t="s">
        <v>276</v>
      </c>
      <c r="V6" s="1" t="s">
        <v>276</v>
      </c>
      <c r="W6" s="1" t="s">
        <v>273</v>
      </c>
      <c r="X6" s="1" t="s">
        <v>270</v>
      </c>
      <c r="Y6" s="1" t="s">
        <v>272</v>
      </c>
      <c r="Z6" s="1" t="s">
        <v>274</v>
      </c>
      <c r="AA6" s="1" t="s">
        <v>274</v>
      </c>
      <c r="AB6" s="1" t="s">
        <v>277</v>
      </c>
      <c r="AC6" s="1" t="s">
        <v>272</v>
      </c>
      <c r="AD6" s="1" t="s">
        <v>276</v>
      </c>
      <c r="AE6" s="1" t="s">
        <v>270</v>
      </c>
      <c r="AF6" s="1" t="s">
        <v>277</v>
      </c>
      <c r="AG6" s="1" t="s">
        <v>275</v>
      </c>
      <c r="AH6" s="1" t="s">
        <v>271</v>
      </c>
      <c r="AI6" s="1" t="s">
        <v>276</v>
      </c>
      <c r="AJ6" s="1" t="s">
        <v>274</v>
      </c>
      <c r="AK6" s="1" t="s">
        <v>282</v>
      </c>
      <c r="AL6" s="1" t="s">
        <v>279</v>
      </c>
      <c r="AM6" s="1" t="s">
        <v>274</v>
      </c>
      <c r="AN6" s="1" t="s">
        <v>277</v>
      </c>
      <c r="AO6" s="1" t="s">
        <v>277</v>
      </c>
      <c r="AP6" s="1" t="s">
        <v>282</v>
      </c>
      <c r="AQ6" s="1" t="s">
        <v>281</v>
      </c>
      <c r="AR6" s="1" t="s">
        <v>281</v>
      </c>
      <c r="AS6" s="1" t="s">
        <v>281</v>
      </c>
      <c r="AT6" s="1" t="s">
        <v>270</v>
      </c>
      <c r="AU6" s="1" t="s">
        <v>279</v>
      </c>
      <c r="AV6" s="11" t="s">
        <v>274</v>
      </c>
      <c r="AX6" s="21" t="s">
        <v>701</v>
      </c>
      <c r="AY6">
        <v>3</v>
      </c>
      <c r="AZ6">
        <v>1</v>
      </c>
      <c r="BA6">
        <v>1</v>
      </c>
      <c r="BB6">
        <v>1</v>
      </c>
      <c r="BE6">
        <v>1</v>
      </c>
      <c r="BG6">
        <v>1</v>
      </c>
      <c r="BI6">
        <v>1</v>
      </c>
      <c r="BJ6">
        <v>2</v>
      </c>
      <c r="BK6">
        <v>4</v>
      </c>
      <c r="BL6">
        <v>1</v>
      </c>
      <c r="BO6">
        <v>1</v>
      </c>
      <c r="BR6">
        <v>14</v>
      </c>
      <c r="BS6">
        <v>5</v>
      </c>
      <c r="BV6">
        <v>7</v>
      </c>
      <c r="BX6">
        <v>1</v>
      </c>
      <c r="CA6">
        <v>1</v>
      </c>
      <c r="CC6">
        <v>2</v>
      </c>
      <c r="CE6">
        <v>1</v>
      </c>
      <c r="CF6">
        <v>2</v>
      </c>
      <c r="CI6" s="22">
        <v>1</v>
      </c>
      <c r="CK6" s="21" t="s">
        <v>319</v>
      </c>
      <c r="CL6" s="26">
        <v>6</v>
      </c>
      <c r="CM6" s="26">
        <v>-1</v>
      </c>
      <c r="CN6" s="26">
        <v>6</v>
      </c>
      <c r="CO6" s="26">
        <v>-6</v>
      </c>
      <c r="CP6" s="26">
        <v>0</v>
      </c>
      <c r="CQ6" s="26">
        <v>0</v>
      </c>
      <c r="CR6" s="26">
        <v>-3</v>
      </c>
      <c r="CS6" s="26">
        <v>-1</v>
      </c>
      <c r="CT6" s="26">
        <v>0</v>
      </c>
      <c r="CU6" s="26">
        <v>0</v>
      </c>
      <c r="CV6" s="26">
        <v>2</v>
      </c>
      <c r="CW6" s="26">
        <v>0</v>
      </c>
      <c r="CX6" s="26">
        <v>15</v>
      </c>
      <c r="CY6" s="26">
        <v>15</v>
      </c>
      <c r="CZ6" s="26">
        <v>10</v>
      </c>
      <c r="DA6" s="26">
        <v>20</v>
      </c>
      <c r="DB6" s="26">
        <v>30</v>
      </c>
      <c r="DC6" s="28">
        <v>0.5</v>
      </c>
      <c r="DD6" s="1" t="s">
        <v>354</v>
      </c>
      <c r="DE6" s="26">
        <v>-3</v>
      </c>
      <c r="DF6" s="1">
        <v>54</v>
      </c>
      <c r="DG6" s="1">
        <v>50</v>
      </c>
      <c r="DH6" s="1">
        <v>135</v>
      </c>
      <c r="DI6" s="1">
        <v>112</v>
      </c>
      <c r="DJ6" s="1">
        <v>5</v>
      </c>
      <c r="DK6" s="29" t="s">
        <v>356</v>
      </c>
      <c r="DM6" s="16">
        <v>2</v>
      </c>
      <c r="DN6" s="35">
        <v>-14</v>
      </c>
      <c r="DQ6" s="21" t="s">
        <v>635</v>
      </c>
      <c r="DR6" s="1">
        <v>3</v>
      </c>
      <c r="DS6" s="1">
        <v>30</v>
      </c>
      <c r="DT6" s="1" t="s">
        <v>94</v>
      </c>
      <c r="DU6" s="1" t="s">
        <v>94</v>
      </c>
      <c r="DV6" t="s">
        <v>417</v>
      </c>
      <c r="DW6" s="1">
        <v>-1</v>
      </c>
      <c r="DX6" s="22" t="s">
        <v>636</v>
      </c>
      <c r="DZ6" s="21" t="s">
        <v>441</v>
      </c>
      <c r="EA6">
        <v>3</v>
      </c>
      <c r="EB6" s="56">
        <v>0.03</v>
      </c>
      <c r="EC6" s="57">
        <v>30</v>
      </c>
      <c r="ED6" s="51">
        <v>-7</v>
      </c>
      <c r="EE6" s="58">
        <v>0</v>
      </c>
      <c r="EF6" s="58">
        <v>0</v>
      </c>
      <c r="EG6" s="771"/>
      <c r="EH6" s="51"/>
      <c r="EI6" s="21" t="s">
        <v>454</v>
      </c>
      <c r="EJ6" s="51">
        <v>20</v>
      </c>
      <c r="EK6" s="57">
        <v>8</v>
      </c>
      <c r="EL6" s="57">
        <v>70</v>
      </c>
      <c r="EM6">
        <v>2</v>
      </c>
      <c r="EN6" s="58"/>
      <c r="EO6" s="58"/>
      <c r="EP6" s="771"/>
      <c r="ER6" s="65" t="s">
        <v>62</v>
      </c>
      <c r="ES6" t="e">
        <f>PR</f>
        <v>#N/A</v>
      </c>
      <c r="EU6" s="21" t="s">
        <v>239</v>
      </c>
      <c r="EV6" s="2" t="s">
        <v>96</v>
      </c>
      <c r="EW6" s="2" t="s">
        <v>98</v>
      </c>
      <c r="EX6" s="2" t="s">
        <v>99</v>
      </c>
      <c r="EY6" s="2" t="s">
        <v>105</v>
      </c>
      <c r="EZ6" s="2" t="s">
        <v>110</v>
      </c>
      <c r="FA6" s="2" t="s">
        <v>113</v>
      </c>
      <c r="FB6" s="2" t="s">
        <v>114</v>
      </c>
      <c r="FC6" s="2" t="s">
        <v>93</v>
      </c>
      <c r="FD6" s="2" t="s">
        <v>117</v>
      </c>
      <c r="FE6" s="2" t="s">
        <v>147</v>
      </c>
      <c r="FF6" s="2" t="s">
        <v>149</v>
      </c>
      <c r="FG6" s="2" t="s">
        <v>174</v>
      </c>
      <c r="FH6" s="2" t="s">
        <v>178</v>
      </c>
      <c r="FI6" s="2" t="s">
        <v>180</v>
      </c>
      <c r="FJ6" s="127" t="s">
        <v>181</v>
      </c>
      <c r="FL6" s="128" t="s">
        <v>848</v>
      </c>
      <c r="FM6" s="1">
        <v>2</v>
      </c>
      <c r="FN6" s="1" t="s">
        <v>846</v>
      </c>
      <c r="FO6" s="1" t="s">
        <v>846</v>
      </c>
      <c r="FP6" s="11" t="s">
        <v>846</v>
      </c>
      <c r="FQ6">
        <v>3</v>
      </c>
      <c r="FR6" s="773"/>
      <c r="FS6" s="128" t="s">
        <v>819</v>
      </c>
      <c r="FT6" s="1">
        <f>Skills!B6</f>
        <v>0</v>
      </c>
      <c r="FU6" s="2" t="s">
        <v>875</v>
      </c>
      <c r="FV6" s="2" t="s">
        <v>876</v>
      </c>
      <c r="FW6" s="2" t="s">
        <v>885</v>
      </c>
      <c r="FX6" s="2" t="s">
        <v>886</v>
      </c>
      <c r="FY6" s="2" t="s">
        <v>902</v>
      </c>
      <c r="FZ6" s="2" t="s">
        <v>918</v>
      </c>
      <c r="GA6" s="2" t="s">
        <v>933</v>
      </c>
      <c r="GE6" s="127"/>
    </row>
    <row r="7" spans="1:187" ht="15" customHeight="1" x14ac:dyDescent="0.25">
      <c r="A7" s="1">
        <v>3</v>
      </c>
      <c r="B7" s="1">
        <f t="shared" si="0"/>
        <v>15</v>
      </c>
      <c r="D7" s="21" t="s">
        <v>240</v>
      </c>
      <c r="E7" s="11">
        <v>4</v>
      </c>
      <c r="G7" s="21" t="s">
        <v>702</v>
      </c>
      <c r="H7" s="11">
        <v>4</v>
      </c>
      <c r="J7" s="21" t="s">
        <v>18</v>
      </c>
      <c r="K7" s="77">
        <f>VLOOKUP(Main!D15,Stat_Bonus,2,FALSE)</f>
        <v>-20</v>
      </c>
      <c r="M7" s="21" t="s">
        <v>240</v>
      </c>
      <c r="N7" s="1">
        <v>4</v>
      </c>
      <c r="O7" s="1">
        <v>0</v>
      </c>
      <c r="P7" s="1" t="s">
        <v>271</v>
      </c>
      <c r="Q7" s="1" t="s">
        <v>276</v>
      </c>
      <c r="R7" s="1" t="s">
        <v>272</v>
      </c>
      <c r="S7" s="1" t="s">
        <v>278</v>
      </c>
      <c r="T7" s="1" t="s">
        <v>275</v>
      </c>
      <c r="U7" s="1" t="s">
        <v>272</v>
      </c>
      <c r="V7" s="1" t="s">
        <v>270</v>
      </c>
      <c r="W7" s="1" t="s">
        <v>274</v>
      </c>
      <c r="X7" s="1" t="s">
        <v>275</v>
      </c>
      <c r="Y7" s="1" t="s">
        <v>278</v>
      </c>
      <c r="Z7" s="1" t="s">
        <v>274</v>
      </c>
      <c r="AA7" s="1" t="s">
        <v>271</v>
      </c>
      <c r="AB7" s="1" t="s">
        <v>279</v>
      </c>
      <c r="AC7" s="1" t="s">
        <v>270</v>
      </c>
      <c r="AD7" s="1" t="s">
        <v>271</v>
      </c>
      <c r="AE7" s="1" t="s">
        <v>270</v>
      </c>
      <c r="AF7" s="1" t="s">
        <v>277</v>
      </c>
      <c r="AG7" s="1" t="s">
        <v>274</v>
      </c>
      <c r="AH7" s="1" t="s">
        <v>275</v>
      </c>
      <c r="AI7" s="1" t="s">
        <v>273</v>
      </c>
      <c r="AJ7" s="1" t="s">
        <v>271</v>
      </c>
      <c r="AK7" s="1" t="s">
        <v>282</v>
      </c>
      <c r="AL7" s="1" t="s">
        <v>275</v>
      </c>
      <c r="AM7" s="1" t="s">
        <v>273</v>
      </c>
      <c r="AN7" s="1" t="s">
        <v>277</v>
      </c>
      <c r="AO7" s="1" t="s">
        <v>277</v>
      </c>
      <c r="AP7" s="1" t="s">
        <v>282</v>
      </c>
      <c r="AQ7" s="1" t="s">
        <v>281</v>
      </c>
      <c r="AR7" s="1" t="s">
        <v>281</v>
      </c>
      <c r="AS7" s="1" t="s">
        <v>281</v>
      </c>
      <c r="AT7" s="1" t="s">
        <v>276</v>
      </c>
      <c r="AU7" s="1" t="s">
        <v>276</v>
      </c>
      <c r="AV7" s="11" t="s">
        <v>274</v>
      </c>
      <c r="AX7" s="21" t="s">
        <v>702</v>
      </c>
      <c r="AY7">
        <v>4</v>
      </c>
      <c r="AZ7">
        <v>1</v>
      </c>
      <c r="BB7">
        <v>2</v>
      </c>
      <c r="BE7">
        <v>1</v>
      </c>
      <c r="BF7">
        <v>1</v>
      </c>
      <c r="BG7">
        <v>1</v>
      </c>
      <c r="BJ7">
        <v>1</v>
      </c>
      <c r="BK7">
        <v>4</v>
      </c>
      <c r="BM7">
        <v>1</v>
      </c>
      <c r="BN7">
        <v>1</v>
      </c>
      <c r="BO7">
        <v>1</v>
      </c>
      <c r="BQ7">
        <v>1</v>
      </c>
      <c r="BR7">
        <v>12</v>
      </c>
      <c r="BS7">
        <v>5</v>
      </c>
      <c r="BV7">
        <v>5</v>
      </c>
      <c r="BW7">
        <v>1</v>
      </c>
      <c r="BX7">
        <v>1</v>
      </c>
      <c r="CA7">
        <v>1</v>
      </c>
      <c r="CC7">
        <v>1</v>
      </c>
      <c r="CD7">
        <v>2</v>
      </c>
      <c r="CE7">
        <v>1</v>
      </c>
      <c r="CF7">
        <v>1</v>
      </c>
      <c r="CG7">
        <v>1</v>
      </c>
      <c r="CI7" s="22"/>
      <c r="CK7" s="21" t="s">
        <v>320</v>
      </c>
      <c r="CL7" s="26">
        <v>0</v>
      </c>
      <c r="CM7" s="26">
        <v>0</v>
      </c>
      <c r="CN7" s="26">
        <v>-2</v>
      </c>
      <c r="CO7" s="26">
        <v>3</v>
      </c>
      <c r="CP7" s="26">
        <v>2</v>
      </c>
      <c r="CQ7" s="26">
        <v>2</v>
      </c>
      <c r="CR7" s="26">
        <v>3</v>
      </c>
      <c r="CS7" s="26">
        <v>1</v>
      </c>
      <c r="CT7" s="26">
        <v>2</v>
      </c>
      <c r="CU7" s="26">
        <v>-5</v>
      </c>
      <c r="CV7" s="26">
        <v>-2</v>
      </c>
      <c r="CW7" s="26">
        <v>-10</v>
      </c>
      <c r="CX7" s="26">
        <v>-10</v>
      </c>
      <c r="CY7" s="26">
        <v>-10</v>
      </c>
      <c r="CZ7" s="26">
        <v>20</v>
      </c>
      <c r="DA7" s="26">
        <v>10</v>
      </c>
      <c r="DB7" s="26">
        <v>20</v>
      </c>
      <c r="DC7" s="28">
        <v>2</v>
      </c>
      <c r="DD7" s="1" t="s">
        <v>354</v>
      </c>
      <c r="DE7" s="26">
        <v>1</v>
      </c>
      <c r="DF7" s="1">
        <v>79</v>
      </c>
      <c r="DG7" s="1">
        <v>75</v>
      </c>
      <c r="DH7" s="1">
        <v>180</v>
      </c>
      <c r="DI7" s="1">
        <v>160</v>
      </c>
      <c r="DJ7" s="1">
        <v>4</v>
      </c>
      <c r="DK7" s="29" t="s">
        <v>358</v>
      </c>
      <c r="DM7" s="16">
        <v>3</v>
      </c>
      <c r="DN7" s="35">
        <v>-13</v>
      </c>
      <c r="DQ7" s="21" t="s">
        <v>677</v>
      </c>
      <c r="DR7" s="1">
        <v>4</v>
      </c>
      <c r="DS7" s="1">
        <v>35</v>
      </c>
      <c r="DT7" s="1" t="s">
        <v>94</v>
      </c>
      <c r="DU7" s="1" t="s">
        <v>648</v>
      </c>
      <c r="DV7" t="s">
        <v>687</v>
      </c>
      <c r="DW7" s="1">
        <v>-1</v>
      </c>
      <c r="DX7" s="22" t="s">
        <v>435</v>
      </c>
      <c r="DZ7" s="21" t="s">
        <v>442</v>
      </c>
      <c r="EA7">
        <v>4</v>
      </c>
      <c r="EB7" s="56">
        <v>0.04</v>
      </c>
      <c r="EC7" s="57">
        <v>35</v>
      </c>
      <c r="ED7" s="51">
        <v>-12</v>
      </c>
      <c r="EE7" s="58">
        <v>0</v>
      </c>
      <c r="EF7" s="58">
        <v>0</v>
      </c>
      <c r="EG7" s="771"/>
      <c r="EH7" s="51"/>
      <c r="EI7" s="21" t="s">
        <v>455</v>
      </c>
      <c r="EJ7" s="51">
        <v>25</v>
      </c>
      <c r="EK7" s="57">
        <v>12</v>
      </c>
      <c r="EL7" s="57">
        <v>75</v>
      </c>
      <c r="EM7">
        <v>3</v>
      </c>
      <c r="EN7" s="58"/>
      <c r="EO7" s="58"/>
      <c r="EP7" s="771"/>
      <c r="ER7" s="65" t="s">
        <v>459</v>
      </c>
      <c r="ES7" t="e">
        <f>AVERAGE(IN,EM)</f>
        <v>#N/A</v>
      </c>
      <c r="EU7" s="21" t="s">
        <v>240</v>
      </c>
      <c r="EV7" s="2" t="s">
        <v>86</v>
      </c>
      <c r="EW7" s="2" t="s">
        <v>302</v>
      </c>
      <c r="EX7" s="2" t="s">
        <v>303</v>
      </c>
      <c r="EY7" s="2" t="s">
        <v>147</v>
      </c>
      <c r="EZ7" s="2" t="s">
        <v>148</v>
      </c>
      <c r="FA7" s="2" t="s">
        <v>178</v>
      </c>
      <c r="FB7" s="2" t="s">
        <v>180</v>
      </c>
      <c r="FC7" s="2" t="s">
        <v>204</v>
      </c>
      <c r="FD7" s="2" t="s">
        <v>207</v>
      </c>
      <c r="FE7" s="2" t="s">
        <v>208</v>
      </c>
      <c r="FF7" s="2" t="s">
        <v>214</v>
      </c>
      <c r="FG7" s="2" t="s">
        <v>215</v>
      </c>
      <c r="FH7" s="2" t="s">
        <v>216</v>
      </c>
      <c r="FI7" s="2" t="s">
        <v>219</v>
      </c>
      <c r="FJ7" s="127" t="s">
        <v>221</v>
      </c>
      <c r="FL7" s="128" t="s">
        <v>849</v>
      </c>
      <c r="FM7" s="1">
        <v>4</v>
      </c>
      <c r="FN7" s="1" t="s">
        <v>846</v>
      </c>
      <c r="FO7" s="1"/>
      <c r="FP7" s="11"/>
      <c r="FQ7">
        <v>4</v>
      </c>
      <c r="FR7" s="773"/>
      <c r="FS7" s="128" t="s">
        <v>631</v>
      </c>
      <c r="FT7" s="1">
        <f>Skills!B7</f>
        <v>0</v>
      </c>
      <c r="FU7" s="2" t="s">
        <v>847</v>
      </c>
      <c r="FV7" s="2" t="s">
        <v>850</v>
      </c>
      <c r="FW7" s="2" t="s">
        <v>859</v>
      </c>
      <c r="FX7" s="2" t="s">
        <v>862</v>
      </c>
      <c r="FY7" s="2" t="s">
        <v>876</v>
      </c>
      <c r="FZ7" s="2" t="s">
        <v>888</v>
      </c>
      <c r="GA7" s="2" t="s">
        <v>898</v>
      </c>
      <c r="GB7" s="2" t="s">
        <v>916</v>
      </c>
      <c r="GE7" s="127"/>
    </row>
    <row r="8" spans="1:187" ht="15" customHeight="1" thickBot="1" x14ac:dyDescent="0.3">
      <c r="A8" s="1">
        <v>4</v>
      </c>
      <c r="B8" s="1">
        <f t="shared" si="0"/>
        <v>20</v>
      </c>
      <c r="D8" s="21" t="s">
        <v>241</v>
      </c>
      <c r="E8" s="11">
        <v>5</v>
      </c>
      <c r="G8" s="21" t="s">
        <v>290</v>
      </c>
      <c r="H8" s="11">
        <v>5</v>
      </c>
      <c r="J8" s="21" t="s">
        <v>19</v>
      </c>
      <c r="K8" s="77">
        <f>VLOOKUP(Main!D16,Stat_Bonus,2,FALSE)</f>
        <v>-20</v>
      </c>
      <c r="M8" s="21" t="s">
        <v>241</v>
      </c>
      <c r="N8" s="1">
        <v>5</v>
      </c>
      <c r="O8" s="1">
        <v>0</v>
      </c>
      <c r="P8" s="1" t="s">
        <v>270</v>
      </c>
      <c r="Q8" s="1" t="s">
        <v>271</v>
      </c>
      <c r="R8" s="1" t="s">
        <v>274</v>
      </c>
      <c r="S8" s="1" t="s">
        <v>275</v>
      </c>
      <c r="T8" s="1" t="s">
        <v>270</v>
      </c>
      <c r="U8" s="1" t="s">
        <v>274</v>
      </c>
      <c r="V8" s="1" t="s">
        <v>273</v>
      </c>
      <c r="W8" s="1" t="s">
        <v>271</v>
      </c>
      <c r="X8" s="1" t="s">
        <v>274</v>
      </c>
      <c r="Y8" s="1" t="s">
        <v>275</v>
      </c>
      <c r="Z8" s="1" t="s">
        <v>274</v>
      </c>
      <c r="AA8" s="1" t="s">
        <v>270</v>
      </c>
      <c r="AB8" s="1" t="s">
        <v>277</v>
      </c>
      <c r="AC8" s="1" t="s">
        <v>270</v>
      </c>
      <c r="AD8" s="1" t="s">
        <v>271</v>
      </c>
      <c r="AE8" s="1" t="s">
        <v>270</v>
      </c>
      <c r="AF8" s="1" t="s">
        <v>277</v>
      </c>
      <c r="AG8" s="1" t="s">
        <v>274</v>
      </c>
      <c r="AH8" s="1" t="s">
        <v>279</v>
      </c>
      <c r="AI8" s="1" t="s">
        <v>273</v>
      </c>
      <c r="AJ8" s="1" t="s">
        <v>270</v>
      </c>
      <c r="AK8" s="1" t="s">
        <v>282</v>
      </c>
      <c r="AL8" s="1" t="s">
        <v>279</v>
      </c>
      <c r="AM8" s="1" t="s">
        <v>271</v>
      </c>
      <c r="AN8" s="1" t="s">
        <v>277</v>
      </c>
      <c r="AO8" s="1" t="s">
        <v>277</v>
      </c>
      <c r="AP8" s="1" t="s">
        <v>282</v>
      </c>
      <c r="AQ8" s="1" t="s">
        <v>281</v>
      </c>
      <c r="AR8" s="1" t="s">
        <v>281</v>
      </c>
      <c r="AS8" s="1" t="s">
        <v>281</v>
      </c>
      <c r="AT8" s="1" t="s">
        <v>273</v>
      </c>
      <c r="AU8" s="1" t="s">
        <v>271</v>
      </c>
      <c r="AV8" s="11" t="s">
        <v>274</v>
      </c>
      <c r="AX8" s="21" t="s">
        <v>290</v>
      </c>
      <c r="AY8">
        <v>5</v>
      </c>
      <c r="BB8">
        <v>2</v>
      </c>
      <c r="BE8">
        <v>1</v>
      </c>
      <c r="BG8">
        <v>1</v>
      </c>
      <c r="BJ8">
        <v>4</v>
      </c>
      <c r="BK8">
        <v>6</v>
      </c>
      <c r="BR8">
        <v>19</v>
      </c>
      <c r="BS8">
        <v>5</v>
      </c>
      <c r="BT8">
        <v>2</v>
      </c>
      <c r="BU8">
        <v>2</v>
      </c>
      <c r="BV8">
        <v>7</v>
      </c>
      <c r="CC8">
        <v>1</v>
      </c>
      <c r="CE8">
        <v>2</v>
      </c>
      <c r="CF8">
        <v>3</v>
      </c>
      <c r="CG8">
        <v>1</v>
      </c>
      <c r="CI8" s="22"/>
      <c r="CK8" s="21" t="s">
        <v>321</v>
      </c>
      <c r="CL8" s="26">
        <v>2</v>
      </c>
      <c r="CM8" s="26">
        <v>2</v>
      </c>
      <c r="CN8" s="26">
        <v>0</v>
      </c>
      <c r="CO8" s="26">
        <v>3</v>
      </c>
      <c r="CP8" s="26">
        <v>0</v>
      </c>
      <c r="CQ8" s="26">
        <v>1</v>
      </c>
      <c r="CR8" s="26">
        <v>3</v>
      </c>
      <c r="CS8" s="26">
        <v>3</v>
      </c>
      <c r="CT8" s="26">
        <v>0</v>
      </c>
      <c r="CU8" s="26">
        <v>-5</v>
      </c>
      <c r="CV8" s="26">
        <v>0</v>
      </c>
      <c r="CW8" s="26">
        <v>-5</v>
      </c>
      <c r="CX8" s="26">
        <v>-5</v>
      </c>
      <c r="CY8" s="26">
        <v>-5</v>
      </c>
      <c r="CZ8" s="26">
        <v>10</v>
      </c>
      <c r="DA8" s="26">
        <v>10</v>
      </c>
      <c r="DB8" s="26">
        <v>20</v>
      </c>
      <c r="DC8" s="28">
        <v>2</v>
      </c>
      <c r="DD8" s="1" t="s">
        <v>354</v>
      </c>
      <c r="DE8" s="26">
        <v>2</v>
      </c>
      <c r="DF8" s="1">
        <v>77</v>
      </c>
      <c r="DG8" s="1">
        <v>73</v>
      </c>
      <c r="DH8" s="1">
        <v>190</v>
      </c>
      <c r="DI8" s="1">
        <v>155</v>
      </c>
      <c r="DJ8" s="1">
        <v>4</v>
      </c>
      <c r="DK8" s="29" t="s">
        <v>357</v>
      </c>
      <c r="DM8" s="16">
        <v>4</v>
      </c>
      <c r="DN8" s="35">
        <v>-12</v>
      </c>
      <c r="DQ8" s="21" t="s">
        <v>670</v>
      </c>
      <c r="DR8" s="1">
        <v>8</v>
      </c>
      <c r="DS8" s="1">
        <v>30</v>
      </c>
      <c r="DT8" s="1" t="s">
        <v>94</v>
      </c>
      <c r="DU8" s="1" t="s">
        <v>678</v>
      </c>
      <c r="DV8" t="s">
        <v>426</v>
      </c>
      <c r="DW8" s="1">
        <v>0</v>
      </c>
      <c r="DX8" s="22" t="s">
        <v>670</v>
      </c>
      <c r="DZ8" s="21" t="s">
        <v>443</v>
      </c>
      <c r="EA8">
        <v>5</v>
      </c>
      <c r="EB8" s="56">
        <v>0.05</v>
      </c>
      <c r="EC8" s="57">
        <v>40</v>
      </c>
      <c r="ED8" s="51">
        <v>-15</v>
      </c>
      <c r="EE8" s="58">
        <v>0</v>
      </c>
      <c r="EF8" s="58">
        <v>0</v>
      </c>
      <c r="EG8" s="771"/>
      <c r="EH8" s="51"/>
      <c r="EI8" s="23" t="s">
        <v>456</v>
      </c>
      <c r="EJ8" s="61">
        <v>30</v>
      </c>
      <c r="EK8" s="60">
        <v>20</v>
      </c>
      <c r="EL8" s="60">
        <v>80</v>
      </c>
      <c r="EM8" s="45">
        <v>4</v>
      </c>
      <c r="EN8" s="62"/>
      <c r="EO8" s="62"/>
      <c r="EP8" s="772"/>
      <c r="ER8" s="65" t="s">
        <v>460</v>
      </c>
      <c r="ES8" t="e">
        <f>AVERAGE(IN,PR)</f>
        <v>#N/A</v>
      </c>
      <c r="EU8" s="21" t="s">
        <v>241</v>
      </c>
      <c r="EV8" s="2" t="s">
        <v>82</v>
      </c>
      <c r="EW8" s="2" t="s">
        <v>86</v>
      </c>
      <c r="EX8" s="2" t="s">
        <v>105</v>
      </c>
      <c r="EY8" s="2" t="s">
        <v>300</v>
      </c>
      <c r="EZ8" s="2" t="s">
        <v>92</v>
      </c>
      <c r="FA8" s="2" t="s">
        <v>110</v>
      </c>
      <c r="FB8" s="2" t="s">
        <v>302</v>
      </c>
      <c r="FC8" s="2" t="s">
        <v>303</v>
      </c>
      <c r="FD8" s="2" t="s">
        <v>144</v>
      </c>
      <c r="FE8" s="2" t="s">
        <v>149</v>
      </c>
      <c r="FF8" s="2" t="s">
        <v>171</v>
      </c>
      <c r="FG8" s="2" t="s">
        <v>178</v>
      </c>
      <c r="FH8" s="2" t="s">
        <v>180</v>
      </c>
      <c r="FI8" s="2" t="s">
        <v>213</v>
      </c>
      <c r="FJ8" s="127" t="s">
        <v>215</v>
      </c>
      <c r="FL8" s="128" t="s">
        <v>850</v>
      </c>
      <c r="FM8" s="1">
        <v>4</v>
      </c>
      <c r="FN8" s="1" t="s">
        <v>846</v>
      </c>
      <c r="FO8" s="1"/>
      <c r="FP8" s="11" t="s">
        <v>846</v>
      </c>
      <c r="FQ8">
        <v>5</v>
      </c>
      <c r="FR8" s="773"/>
      <c r="FS8" s="128" t="s">
        <v>820</v>
      </c>
      <c r="FT8" s="1">
        <f>Skills!B8</f>
        <v>0</v>
      </c>
      <c r="FU8" s="2" t="s">
        <v>863</v>
      </c>
      <c r="FV8" s="2" t="s">
        <v>882</v>
      </c>
      <c r="FW8" s="2" t="s">
        <v>890</v>
      </c>
      <c r="FX8" s="2" t="s">
        <v>901</v>
      </c>
      <c r="FY8" s="2" t="s">
        <v>903</v>
      </c>
      <c r="FZ8" s="2" t="s">
        <v>905</v>
      </c>
      <c r="GA8" s="2" t="s">
        <v>910</v>
      </c>
      <c r="GB8" s="2" t="s">
        <v>911</v>
      </c>
      <c r="GC8" s="2" t="s">
        <v>928</v>
      </c>
      <c r="GE8" s="127"/>
    </row>
    <row r="9" spans="1:187" ht="15" customHeight="1" thickBot="1" x14ac:dyDescent="0.3">
      <c r="A9" s="1">
        <v>5</v>
      </c>
      <c r="B9" s="1">
        <f t="shared" si="0"/>
        <v>25</v>
      </c>
      <c r="D9" s="21" t="s">
        <v>242</v>
      </c>
      <c r="E9" s="11">
        <v>6</v>
      </c>
      <c r="G9" s="21" t="s">
        <v>703</v>
      </c>
      <c r="H9" s="11">
        <v>6</v>
      </c>
      <c r="J9" s="21" t="s">
        <v>20</v>
      </c>
      <c r="K9" s="77">
        <f>VLOOKUP(Main!D17,Stat_Bonus,2,FALSE)</f>
        <v>-20</v>
      </c>
      <c r="M9" s="21" t="s">
        <v>242</v>
      </c>
      <c r="N9" s="1">
        <v>6</v>
      </c>
      <c r="O9" s="1">
        <v>0</v>
      </c>
      <c r="P9" s="1" t="s">
        <v>273</v>
      </c>
      <c r="Q9" s="1" t="s">
        <v>274</v>
      </c>
      <c r="R9" s="1" t="s">
        <v>275</v>
      </c>
      <c r="S9" s="1" t="s">
        <v>278</v>
      </c>
      <c r="T9" s="1" t="s">
        <v>276</v>
      </c>
      <c r="U9" s="1" t="s">
        <v>275</v>
      </c>
      <c r="V9" s="1" t="s">
        <v>271</v>
      </c>
      <c r="W9" s="1" t="s">
        <v>270</v>
      </c>
      <c r="X9" s="1" t="s">
        <v>272</v>
      </c>
      <c r="Y9" s="1" t="s">
        <v>279</v>
      </c>
      <c r="Z9" s="1" t="s">
        <v>285</v>
      </c>
      <c r="AA9" s="1" t="s">
        <v>273</v>
      </c>
      <c r="AB9" s="1" t="s">
        <v>277</v>
      </c>
      <c r="AC9" s="1" t="s">
        <v>273</v>
      </c>
      <c r="AD9" s="1" t="s">
        <v>271</v>
      </c>
      <c r="AE9" s="1" t="s">
        <v>271</v>
      </c>
      <c r="AF9" s="1" t="s">
        <v>277</v>
      </c>
      <c r="AG9" s="1" t="s">
        <v>270</v>
      </c>
      <c r="AH9" s="1" t="s">
        <v>275</v>
      </c>
      <c r="AI9" s="1" t="s">
        <v>273</v>
      </c>
      <c r="AJ9" s="1" t="s">
        <v>271</v>
      </c>
      <c r="AK9" s="1" t="s">
        <v>282</v>
      </c>
      <c r="AL9" s="1" t="s">
        <v>275</v>
      </c>
      <c r="AM9" s="1" t="s">
        <v>271</v>
      </c>
      <c r="AN9" s="1" t="s">
        <v>277</v>
      </c>
      <c r="AO9" s="1" t="s">
        <v>277</v>
      </c>
      <c r="AP9" s="1" t="s">
        <v>282</v>
      </c>
      <c r="AQ9" s="1" t="s">
        <v>281</v>
      </c>
      <c r="AR9" s="1" t="s">
        <v>281</v>
      </c>
      <c r="AS9" s="1" t="s">
        <v>281</v>
      </c>
      <c r="AT9" s="1" t="s">
        <v>274</v>
      </c>
      <c r="AU9" s="1" t="s">
        <v>271</v>
      </c>
      <c r="AV9" s="11" t="s">
        <v>274</v>
      </c>
      <c r="AX9" s="21" t="s">
        <v>703</v>
      </c>
      <c r="AY9">
        <v>6</v>
      </c>
      <c r="AZ9">
        <v>1</v>
      </c>
      <c r="BA9">
        <v>1</v>
      </c>
      <c r="BB9">
        <v>1</v>
      </c>
      <c r="BC9">
        <v>1</v>
      </c>
      <c r="BD9">
        <v>2</v>
      </c>
      <c r="BE9">
        <v>2</v>
      </c>
      <c r="BG9">
        <v>2</v>
      </c>
      <c r="BH9">
        <v>1</v>
      </c>
      <c r="BI9">
        <v>1</v>
      </c>
      <c r="BK9">
        <v>3</v>
      </c>
      <c r="BO9">
        <v>1</v>
      </c>
      <c r="BQ9">
        <v>1</v>
      </c>
      <c r="BR9">
        <v>9</v>
      </c>
      <c r="BS9">
        <v>5</v>
      </c>
      <c r="BT9">
        <v>1</v>
      </c>
      <c r="BV9">
        <v>5</v>
      </c>
      <c r="BX9">
        <v>1</v>
      </c>
      <c r="CA9">
        <v>1</v>
      </c>
      <c r="CC9">
        <v>2</v>
      </c>
      <c r="CI9" s="22">
        <v>1</v>
      </c>
      <c r="CK9" s="21" t="s">
        <v>322</v>
      </c>
      <c r="CL9" s="26">
        <v>3</v>
      </c>
      <c r="CM9" s="26">
        <v>3</v>
      </c>
      <c r="CN9" s="26">
        <v>-1</v>
      </c>
      <c r="CO9" s="26">
        <v>2</v>
      </c>
      <c r="CP9" s="26">
        <v>0</v>
      </c>
      <c r="CQ9" s="26">
        <v>2</v>
      </c>
      <c r="CR9" s="26">
        <v>3</v>
      </c>
      <c r="CS9" s="26">
        <v>2</v>
      </c>
      <c r="CT9" s="26">
        <v>1</v>
      </c>
      <c r="CU9" s="26">
        <v>-5</v>
      </c>
      <c r="CV9" s="26">
        <v>-1</v>
      </c>
      <c r="CW9" s="26">
        <v>-5</v>
      </c>
      <c r="CX9" s="26">
        <v>-5</v>
      </c>
      <c r="CY9" s="26">
        <v>-5</v>
      </c>
      <c r="CZ9" s="26">
        <v>10</v>
      </c>
      <c r="DA9" s="26">
        <v>10</v>
      </c>
      <c r="DB9" s="26">
        <v>25</v>
      </c>
      <c r="DC9" s="28">
        <v>2</v>
      </c>
      <c r="DD9" s="1" t="s">
        <v>354</v>
      </c>
      <c r="DE9" s="26">
        <v>2</v>
      </c>
      <c r="DF9" s="1">
        <v>79</v>
      </c>
      <c r="DG9" s="1">
        <v>75</v>
      </c>
      <c r="DH9" s="1">
        <v>215</v>
      </c>
      <c r="DI9" s="1">
        <v>175</v>
      </c>
      <c r="DJ9" s="1">
        <v>4</v>
      </c>
      <c r="DK9" s="29" t="s">
        <v>357</v>
      </c>
      <c r="DM9" s="16">
        <v>5</v>
      </c>
      <c r="DN9" s="35">
        <v>-11</v>
      </c>
      <c r="DQ9" s="21" t="s">
        <v>622</v>
      </c>
      <c r="DR9" s="1">
        <v>4</v>
      </c>
      <c r="DS9" s="1">
        <v>80</v>
      </c>
      <c r="DT9" s="1" t="s">
        <v>94</v>
      </c>
      <c r="DU9" s="1" t="s">
        <v>94</v>
      </c>
      <c r="DV9" t="s">
        <v>415</v>
      </c>
      <c r="DW9" s="1">
        <v>0</v>
      </c>
      <c r="DX9" s="22" t="s">
        <v>622</v>
      </c>
      <c r="DZ9" s="21" t="s">
        <v>410</v>
      </c>
      <c r="EA9">
        <v>6</v>
      </c>
      <c r="EB9" s="56">
        <v>7.0000000000000007E-2</v>
      </c>
      <c r="EC9" s="57">
        <v>45</v>
      </c>
      <c r="ED9" s="51">
        <v>-17</v>
      </c>
      <c r="EE9" s="58">
        <v>0</v>
      </c>
      <c r="EF9" s="58">
        <v>0</v>
      </c>
      <c r="EG9" s="771"/>
      <c r="EH9" s="51"/>
      <c r="ER9" s="66" t="s">
        <v>461</v>
      </c>
      <c r="ES9" t="e">
        <f>AVERAGE(EM,PR)</f>
        <v>#N/A</v>
      </c>
      <c r="EU9" s="21" t="s">
        <v>242</v>
      </c>
      <c r="EV9" s="2" t="s">
        <v>81</v>
      </c>
      <c r="EW9" s="2" t="s">
        <v>105</v>
      </c>
      <c r="EX9" s="2" t="s">
        <v>301</v>
      </c>
      <c r="EY9" s="2" t="s">
        <v>128</v>
      </c>
      <c r="EZ9" s="2" t="s">
        <v>129</v>
      </c>
      <c r="FA9" s="2" t="s">
        <v>130</v>
      </c>
      <c r="FB9" s="2" t="s">
        <v>131</v>
      </c>
      <c r="FC9" s="2" t="s">
        <v>132</v>
      </c>
      <c r="FD9" s="2" t="s">
        <v>133</v>
      </c>
      <c r="FE9" s="2" t="s">
        <v>134</v>
      </c>
      <c r="FF9" s="2" t="s">
        <v>143</v>
      </c>
      <c r="FG9" s="2" t="s">
        <v>180</v>
      </c>
      <c r="FH9" s="2" t="s">
        <v>220</v>
      </c>
      <c r="FI9" s="2" t="s">
        <v>226</v>
      </c>
      <c r="FJ9" s="127" t="s">
        <v>227</v>
      </c>
      <c r="FL9" s="128" t="s">
        <v>851</v>
      </c>
      <c r="FM9" s="1">
        <v>4</v>
      </c>
      <c r="FN9" s="1" t="s">
        <v>846</v>
      </c>
      <c r="FO9" s="1"/>
      <c r="FP9" s="11"/>
      <c r="FQ9">
        <v>6</v>
      </c>
      <c r="FR9" s="773"/>
      <c r="FS9" s="128" t="s">
        <v>821</v>
      </c>
      <c r="FT9" s="1">
        <f>Skills!B9</f>
        <v>0</v>
      </c>
      <c r="FU9" s="2" t="s">
        <v>847</v>
      </c>
      <c r="FV9" s="2" t="s">
        <v>842</v>
      </c>
      <c r="FW9" s="2" t="s">
        <v>863</v>
      </c>
      <c r="FX9" s="2" t="s">
        <v>887</v>
      </c>
      <c r="FY9" s="2" t="s">
        <v>894</v>
      </c>
      <c r="FZ9" s="2" t="s">
        <v>904</v>
      </c>
      <c r="GA9" s="2" t="s">
        <v>905</v>
      </c>
      <c r="GB9" s="2" t="s">
        <v>910</v>
      </c>
      <c r="GC9" s="2" t="s">
        <v>911</v>
      </c>
      <c r="GD9" s="2" t="s">
        <v>436</v>
      </c>
      <c r="GE9" s="127"/>
    </row>
    <row r="10" spans="1:187" ht="15" customHeight="1" x14ac:dyDescent="0.25">
      <c r="A10" s="1">
        <v>6</v>
      </c>
      <c r="B10" s="1">
        <f t="shared" si="0"/>
        <v>30</v>
      </c>
      <c r="D10" s="21" t="s">
        <v>720</v>
      </c>
      <c r="E10" s="11">
        <v>7</v>
      </c>
      <c r="G10" s="21" t="s">
        <v>704</v>
      </c>
      <c r="H10" s="11">
        <v>7</v>
      </c>
      <c r="J10" s="21" t="s">
        <v>22</v>
      </c>
      <c r="K10" s="77">
        <f>VLOOKUP(Main!D18,Stat_Bonus,2,FALSE)</f>
        <v>-20</v>
      </c>
      <c r="M10" s="21" t="s">
        <v>720</v>
      </c>
      <c r="N10" s="1">
        <v>7</v>
      </c>
      <c r="O10" s="1">
        <v>0</v>
      </c>
      <c r="P10" s="17" t="s">
        <v>274</v>
      </c>
      <c r="Q10" s="17" t="s">
        <v>276</v>
      </c>
      <c r="R10" s="17" t="s">
        <v>272</v>
      </c>
      <c r="S10" s="17" t="s">
        <v>279</v>
      </c>
      <c r="T10" s="17" t="s">
        <v>813</v>
      </c>
      <c r="U10" s="17" t="s">
        <v>272</v>
      </c>
      <c r="V10" s="17" t="s">
        <v>273</v>
      </c>
      <c r="W10" s="17" t="s">
        <v>271</v>
      </c>
      <c r="X10" s="17" t="s">
        <v>274</v>
      </c>
      <c r="Y10" s="17" t="s">
        <v>275</v>
      </c>
      <c r="Z10" s="17" t="s">
        <v>274</v>
      </c>
      <c r="AA10" s="17" t="s">
        <v>270</v>
      </c>
      <c r="AB10" s="17" t="s">
        <v>279</v>
      </c>
      <c r="AC10" s="17" t="s">
        <v>274</v>
      </c>
      <c r="AD10" s="17" t="s">
        <v>271</v>
      </c>
      <c r="AE10" s="17" t="s">
        <v>270</v>
      </c>
      <c r="AF10" s="17" t="s">
        <v>277</v>
      </c>
      <c r="AG10" s="17" t="s">
        <v>271</v>
      </c>
      <c r="AH10" s="17" t="s">
        <v>275</v>
      </c>
      <c r="AI10" s="17" t="s">
        <v>271</v>
      </c>
      <c r="AJ10" s="17" t="s">
        <v>270</v>
      </c>
      <c r="AK10" s="17" t="s">
        <v>282</v>
      </c>
      <c r="AL10" s="17" t="s">
        <v>279</v>
      </c>
      <c r="AM10" s="17" t="s">
        <v>273</v>
      </c>
      <c r="AN10" s="17" t="s">
        <v>277</v>
      </c>
      <c r="AO10" s="17" t="s">
        <v>277</v>
      </c>
      <c r="AP10" s="17" t="s">
        <v>282</v>
      </c>
      <c r="AQ10" s="17" t="s">
        <v>281</v>
      </c>
      <c r="AR10" s="17" t="s">
        <v>281</v>
      </c>
      <c r="AS10" s="17" t="s">
        <v>281</v>
      </c>
      <c r="AT10" s="17" t="s">
        <v>273</v>
      </c>
      <c r="AU10" s="17" t="s">
        <v>273</v>
      </c>
      <c r="AV10" s="254" t="s">
        <v>274</v>
      </c>
      <c r="AX10" s="21" t="s">
        <v>704</v>
      </c>
      <c r="AY10">
        <v>7</v>
      </c>
      <c r="BB10">
        <v>2</v>
      </c>
      <c r="BE10">
        <v>1</v>
      </c>
      <c r="BG10">
        <v>1</v>
      </c>
      <c r="BJ10">
        <v>2</v>
      </c>
      <c r="BK10">
        <v>5</v>
      </c>
      <c r="BO10">
        <v>1</v>
      </c>
      <c r="BR10">
        <v>17</v>
      </c>
      <c r="BS10">
        <v>5</v>
      </c>
      <c r="BV10">
        <v>7</v>
      </c>
      <c r="CC10">
        <v>1</v>
      </c>
      <c r="CE10">
        <v>1</v>
      </c>
      <c r="CF10">
        <v>2</v>
      </c>
      <c r="CG10">
        <v>2</v>
      </c>
      <c r="CH10">
        <v>1</v>
      </c>
      <c r="CI10" s="22">
        <v>2</v>
      </c>
      <c r="CK10" s="21" t="s">
        <v>323</v>
      </c>
      <c r="CL10" s="26">
        <v>3</v>
      </c>
      <c r="CM10" s="26">
        <v>2</v>
      </c>
      <c r="CN10" s="26">
        <v>0</v>
      </c>
      <c r="CO10" s="26">
        <v>2</v>
      </c>
      <c r="CP10" s="26">
        <v>0</v>
      </c>
      <c r="CQ10" s="26">
        <v>1</v>
      </c>
      <c r="CR10" s="26">
        <v>2</v>
      </c>
      <c r="CS10" s="26">
        <v>3</v>
      </c>
      <c r="CT10" s="26">
        <v>0</v>
      </c>
      <c r="CU10" s="26">
        <v>-5</v>
      </c>
      <c r="CV10" s="26">
        <v>-2</v>
      </c>
      <c r="CW10" s="26">
        <v>-5</v>
      </c>
      <c r="CX10" s="26">
        <v>-5</v>
      </c>
      <c r="CY10" s="26">
        <v>-5</v>
      </c>
      <c r="CZ10" s="26">
        <v>20</v>
      </c>
      <c r="DA10" s="26">
        <v>10</v>
      </c>
      <c r="DB10" s="26">
        <v>20</v>
      </c>
      <c r="DC10" s="28">
        <v>2</v>
      </c>
      <c r="DD10" s="1" t="s">
        <v>354</v>
      </c>
      <c r="DE10" s="26">
        <v>0</v>
      </c>
      <c r="DF10" s="1">
        <v>72</v>
      </c>
      <c r="DG10" s="1">
        <v>69</v>
      </c>
      <c r="DH10" s="1">
        <v>150</v>
      </c>
      <c r="DI10" s="1">
        <v>125</v>
      </c>
      <c r="DJ10" s="1">
        <v>4</v>
      </c>
      <c r="DK10" s="29" t="s">
        <v>359</v>
      </c>
      <c r="DM10" s="16">
        <v>6</v>
      </c>
      <c r="DN10" s="35">
        <v>-10</v>
      </c>
      <c r="DQ10" s="21" t="s">
        <v>626</v>
      </c>
      <c r="DR10" s="1">
        <v>5</v>
      </c>
      <c r="DS10" s="1">
        <v>80</v>
      </c>
      <c r="DT10" s="1" t="s">
        <v>94</v>
      </c>
      <c r="DU10" s="1" t="s">
        <v>94</v>
      </c>
      <c r="DV10" t="s">
        <v>418</v>
      </c>
      <c r="DW10" s="1">
        <v>1</v>
      </c>
      <c r="DX10" s="22" t="s">
        <v>622</v>
      </c>
      <c r="DZ10" s="21" t="s">
        <v>444</v>
      </c>
      <c r="EA10">
        <v>7</v>
      </c>
      <c r="EB10" s="56">
        <v>0.09</v>
      </c>
      <c r="EC10" s="57">
        <v>50</v>
      </c>
      <c r="ED10" s="51">
        <v>-34</v>
      </c>
      <c r="EE10" s="58">
        <v>0</v>
      </c>
      <c r="EF10" s="58">
        <v>0</v>
      </c>
      <c r="EG10" s="771"/>
      <c r="EH10" s="51"/>
      <c r="EU10" s="21" t="s">
        <v>720</v>
      </c>
      <c r="EV10" s="2" t="s">
        <v>86</v>
      </c>
      <c r="EW10" s="2" t="s">
        <v>110</v>
      </c>
      <c r="EX10" s="2" t="s">
        <v>113</v>
      </c>
      <c r="EY10" s="2" t="s">
        <v>114</v>
      </c>
      <c r="EZ10" s="2" t="s">
        <v>93</v>
      </c>
      <c r="FA10" s="2" t="s">
        <v>302</v>
      </c>
      <c r="FB10" s="2" t="s">
        <v>303</v>
      </c>
      <c r="FC10" s="2" t="s">
        <v>171</v>
      </c>
      <c r="FD10" s="2" t="s">
        <v>178</v>
      </c>
      <c r="FE10" s="2" t="s">
        <v>180</v>
      </c>
      <c r="FF10" s="2" t="s">
        <v>204</v>
      </c>
      <c r="FG10" s="2" t="s">
        <v>208</v>
      </c>
      <c r="FH10" s="2" t="s">
        <v>213</v>
      </c>
      <c r="FI10" s="2" t="s">
        <v>215</v>
      </c>
      <c r="FJ10" s="127" t="s">
        <v>221</v>
      </c>
      <c r="FL10" s="128" t="s">
        <v>852</v>
      </c>
      <c r="FM10" s="1">
        <v>4</v>
      </c>
      <c r="FN10" s="1" t="s">
        <v>846</v>
      </c>
      <c r="FO10" s="1"/>
      <c r="FP10" s="11"/>
      <c r="FQ10">
        <v>7</v>
      </c>
      <c r="FR10" s="773"/>
      <c r="FS10" s="128" t="s">
        <v>822</v>
      </c>
      <c r="FT10" s="1">
        <f>Skills!B10</f>
        <v>0</v>
      </c>
      <c r="FU10" s="2" t="s">
        <v>851</v>
      </c>
      <c r="FV10" s="2" t="s">
        <v>885</v>
      </c>
      <c r="FW10" s="2" t="s">
        <v>888</v>
      </c>
      <c r="FX10" s="2" t="s">
        <v>892</v>
      </c>
      <c r="FY10" s="2" t="s">
        <v>895</v>
      </c>
      <c r="FZ10" s="2" t="s">
        <v>902</v>
      </c>
      <c r="GA10" s="2" t="s">
        <v>912</v>
      </c>
      <c r="GE10" s="127"/>
    </row>
    <row r="11" spans="1:187" ht="15" customHeight="1" x14ac:dyDescent="0.25">
      <c r="A11" s="1">
        <v>7</v>
      </c>
      <c r="B11" s="1">
        <f t="shared" si="0"/>
        <v>35</v>
      </c>
      <c r="D11" s="21" t="s">
        <v>721</v>
      </c>
      <c r="E11" s="11">
        <v>8</v>
      </c>
      <c r="G11" s="21" t="s">
        <v>291</v>
      </c>
      <c r="H11" s="11">
        <v>8</v>
      </c>
      <c r="J11" s="21" t="s">
        <v>21</v>
      </c>
      <c r="K11" s="77">
        <f>VLOOKUP(Main!D19,Stat_Bonus,2,FALSE)</f>
        <v>-20</v>
      </c>
      <c r="M11" s="21" t="s">
        <v>721</v>
      </c>
      <c r="N11" s="1">
        <v>8</v>
      </c>
      <c r="O11" s="1">
        <v>0</v>
      </c>
      <c r="P11" s="17" t="s">
        <v>271</v>
      </c>
      <c r="Q11" s="17" t="s">
        <v>271</v>
      </c>
      <c r="R11" s="17" t="s">
        <v>271</v>
      </c>
      <c r="S11" s="17" t="s">
        <v>272</v>
      </c>
      <c r="T11" s="17" t="s">
        <v>273</v>
      </c>
      <c r="U11" s="17" t="s">
        <v>271</v>
      </c>
      <c r="V11" s="17" t="s">
        <v>276</v>
      </c>
      <c r="W11" s="17" t="s">
        <v>276</v>
      </c>
      <c r="X11" s="17" t="s">
        <v>271</v>
      </c>
      <c r="Y11" s="17" t="s">
        <v>274</v>
      </c>
      <c r="Z11" s="17" t="s">
        <v>274</v>
      </c>
      <c r="AA11" s="17" t="s">
        <v>270</v>
      </c>
      <c r="AB11" s="17" t="s">
        <v>277</v>
      </c>
      <c r="AC11" s="17" t="s">
        <v>271</v>
      </c>
      <c r="AD11" s="17" t="s">
        <v>274</v>
      </c>
      <c r="AE11" s="17" t="s">
        <v>270</v>
      </c>
      <c r="AF11" s="17" t="s">
        <v>277</v>
      </c>
      <c r="AG11" s="17" t="s">
        <v>274</v>
      </c>
      <c r="AH11" s="17" t="s">
        <v>279</v>
      </c>
      <c r="AI11" s="17" t="s">
        <v>271</v>
      </c>
      <c r="AJ11" s="17" t="s">
        <v>274</v>
      </c>
      <c r="AK11" s="17" t="s">
        <v>282</v>
      </c>
      <c r="AL11" s="17" t="s">
        <v>279</v>
      </c>
      <c r="AM11" s="17" t="s">
        <v>274</v>
      </c>
      <c r="AN11" s="17" t="s">
        <v>277</v>
      </c>
      <c r="AO11" s="17" t="s">
        <v>277</v>
      </c>
      <c r="AP11" s="17" t="s">
        <v>282</v>
      </c>
      <c r="AQ11" s="17" t="s">
        <v>281</v>
      </c>
      <c r="AR11" s="17" t="s">
        <v>281</v>
      </c>
      <c r="AS11" s="17" t="s">
        <v>281</v>
      </c>
      <c r="AT11" s="17" t="s">
        <v>272</v>
      </c>
      <c r="AU11" s="17" t="s">
        <v>279</v>
      </c>
      <c r="AV11" s="254" t="s">
        <v>274</v>
      </c>
      <c r="AX11" s="21" t="s">
        <v>291</v>
      </c>
      <c r="AY11">
        <v>8</v>
      </c>
      <c r="BB11">
        <v>2</v>
      </c>
      <c r="BC11">
        <v>1</v>
      </c>
      <c r="BD11">
        <v>1</v>
      </c>
      <c r="BE11">
        <v>3</v>
      </c>
      <c r="BG11">
        <v>1</v>
      </c>
      <c r="BH11">
        <v>1</v>
      </c>
      <c r="BK11">
        <v>4</v>
      </c>
      <c r="BM11">
        <v>1</v>
      </c>
      <c r="BO11">
        <v>3</v>
      </c>
      <c r="BR11">
        <v>8</v>
      </c>
      <c r="BS11">
        <v>5</v>
      </c>
      <c r="BV11">
        <v>2</v>
      </c>
      <c r="BX11">
        <v>2</v>
      </c>
      <c r="CC11">
        <v>2</v>
      </c>
      <c r="CH11">
        <v>1</v>
      </c>
      <c r="CI11" s="22">
        <v>2</v>
      </c>
      <c r="CK11" s="21" t="s">
        <v>324</v>
      </c>
      <c r="CL11" s="26">
        <v>17</v>
      </c>
      <c r="CM11" s="26">
        <v>2</v>
      </c>
      <c r="CN11" s="26">
        <v>-2</v>
      </c>
      <c r="CO11" s="26">
        <v>4</v>
      </c>
      <c r="CP11" s="26">
        <v>-2</v>
      </c>
      <c r="CQ11" s="26">
        <v>1</v>
      </c>
      <c r="CR11" s="26">
        <v>-2</v>
      </c>
      <c r="CS11" s="26">
        <v>2</v>
      </c>
      <c r="CT11" s="26">
        <v>1</v>
      </c>
      <c r="CU11" s="26">
        <v>1</v>
      </c>
      <c r="CV11" s="26">
        <v>-3</v>
      </c>
      <c r="CW11" s="26">
        <v>5</v>
      </c>
      <c r="CX11" s="26">
        <v>0</v>
      </c>
      <c r="CY11" s="26">
        <v>5</v>
      </c>
      <c r="CZ11" s="26">
        <v>10</v>
      </c>
      <c r="DA11" s="26">
        <v>0</v>
      </c>
      <c r="DB11" s="26">
        <v>20</v>
      </c>
      <c r="DC11" s="28">
        <v>0.5</v>
      </c>
      <c r="DD11" s="1" t="s">
        <v>360</v>
      </c>
      <c r="DE11" s="26">
        <v>-5</v>
      </c>
      <c r="DF11" s="1">
        <v>42</v>
      </c>
      <c r="DG11" s="1">
        <v>42</v>
      </c>
      <c r="DH11" s="1">
        <v>44</v>
      </c>
      <c r="DI11" s="1">
        <v>44</v>
      </c>
      <c r="DJ11" s="1">
        <v>1</v>
      </c>
      <c r="DK11" s="29" t="s">
        <v>361</v>
      </c>
      <c r="DM11" s="16">
        <v>7</v>
      </c>
      <c r="DN11" s="35">
        <v>-9.5</v>
      </c>
      <c r="DQ11" s="21" t="s">
        <v>636</v>
      </c>
      <c r="DR11" s="1">
        <v>3</v>
      </c>
      <c r="DS11" s="1">
        <v>35</v>
      </c>
      <c r="DT11" s="1" t="s">
        <v>94</v>
      </c>
      <c r="DU11" s="1" t="s">
        <v>94</v>
      </c>
      <c r="DV11" t="s">
        <v>417</v>
      </c>
      <c r="DW11" s="1">
        <v>0</v>
      </c>
      <c r="DX11" s="22" t="s">
        <v>636</v>
      </c>
      <c r="DZ11" s="21" t="s">
        <v>445</v>
      </c>
      <c r="EA11">
        <v>8</v>
      </c>
      <c r="EB11" s="56">
        <v>0.11</v>
      </c>
      <c r="EC11" s="57">
        <v>55</v>
      </c>
      <c r="ED11" s="51">
        <v>-41</v>
      </c>
      <c r="EE11" s="58">
        <v>0</v>
      </c>
      <c r="EF11" s="58">
        <v>0</v>
      </c>
      <c r="EG11" s="771"/>
      <c r="EH11" s="51"/>
      <c r="EU11" s="21" t="s">
        <v>721</v>
      </c>
      <c r="EV11" s="2" t="s">
        <v>82</v>
      </c>
      <c r="EW11" s="2" t="s">
        <v>86</v>
      </c>
      <c r="EX11" s="2" t="s">
        <v>87</v>
      </c>
      <c r="EY11" s="2" t="s">
        <v>300</v>
      </c>
      <c r="EZ11" s="2" t="s">
        <v>105</v>
      </c>
      <c r="FA11" s="2" t="s">
        <v>106</v>
      </c>
      <c r="FB11" s="2" t="s">
        <v>301</v>
      </c>
      <c r="FC11" s="2" t="s">
        <v>113</v>
      </c>
      <c r="FD11" s="2" t="s">
        <v>302</v>
      </c>
      <c r="FE11" s="2" t="s">
        <v>303</v>
      </c>
      <c r="FF11" s="2" t="s">
        <v>144</v>
      </c>
      <c r="FG11" s="2" t="s">
        <v>157</v>
      </c>
      <c r="FH11" s="2" t="s">
        <v>178</v>
      </c>
      <c r="FI11" s="2" t="s">
        <v>180</v>
      </c>
      <c r="FJ11" s="127" t="s">
        <v>206</v>
      </c>
      <c r="FL11" s="128" t="s">
        <v>853</v>
      </c>
      <c r="FM11" s="1">
        <v>3</v>
      </c>
      <c r="FN11" s="1"/>
      <c r="FO11" s="1" t="s">
        <v>846</v>
      </c>
      <c r="FP11" s="11"/>
      <c r="FQ11">
        <v>8</v>
      </c>
      <c r="FR11" s="773"/>
      <c r="FS11" s="128" t="s">
        <v>823</v>
      </c>
      <c r="FT11" s="1">
        <f>Skills!B11</f>
        <v>0</v>
      </c>
      <c r="FU11" s="2" t="s">
        <v>851</v>
      </c>
      <c r="FV11" s="2" t="s">
        <v>852</v>
      </c>
      <c r="FW11" s="2" t="s">
        <v>856</v>
      </c>
      <c r="FX11" s="2" t="s">
        <v>895</v>
      </c>
      <c r="FY11" s="2" t="s">
        <v>898</v>
      </c>
      <c r="FZ11" s="2" t="s">
        <v>916</v>
      </c>
      <c r="GA11" s="2" t="s">
        <v>917</v>
      </c>
      <c r="GB11" s="2" t="s">
        <v>919</v>
      </c>
      <c r="GC11" s="2" t="s">
        <v>924</v>
      </c>
      <c r="GE11" s="127"/>
    </row>
    <row r="12" spans="1:187" ht="15" customHeight="1" x14ac:dyDescent="0.25">
      <c r="A12" s="1">
        <v>8</v>
      </c>
      <c r="B12" s="1">
        <f t="shared" si="0"/>
        <v>40</v>
      </c>
      <c r="D12" s="21" t="s">
        <v>722</v>
      </c>
      <c r="E12" s="11">
        <v>9</v>
      </c>
      <c r="G12" s="21" t="s">
        <v>705</v>
      </c>
      <c r="H12" s="11">
        <v>9</v>
      </c>
      <c r="J12" s="21" t="s">
        <v>23</v>
      </c>
      <c r="K12" s="77">
        <f>VLOOKUP(Main!D20,Stat_Bonus,2,FALSE)</f>
        <v>-20</v>
      </c>
      <c r="M12" s="21" t="s">
        <v>722</v>
      </c>
      <c r="N12" s="1">
        <v>9</v>
      </c>
      <c r="O12" s="1">
        <v>0</v>
      </c>
      <c r="P12" s="17" t="s">
        <v>273</v>
      </c>
      <c r="Q12" s="17" t="s">
        <v>276</v>
      </c>
      <c r="R12" s="17" t="s">
        <v>275</v>
      </c>
      <c r="S12" s="17" t="s">
        <v>275</v>
      </c>
      <c r="T12" s="17" t="s">
        <v>272</v>
      </c>
      <c r="U12" s="17" t="s">
        <v>272</v>
      </c>
      <c r="V12" s="17" t="s">
        <v>271</v>
      </c>
      <c r="W12" s="17" t="s">
        <v>270</v>
      </c>
      <c r="X12" s="17" t="s">
        <v>272</v>
      </c>
      <c r="Y12" s="17" t="s">
        <v>279</v>
      </c>
      <c r="Z12" s="17" t="s">
        <v>274</v>
      </c>
      <c r="AA12" s="17" t="s">
        <v>271</v>
      </c>
      <c r="AB12" s="17" t="s">
        <v>277</v>
      </c>
      <c r="AC12" s="17" t="s">
        <v>273</v>
      </c>
      <c r="AD12" s="17" t="s">
        <v>273</v>
      </c>
      <c r="AE12" s="17" t="s">
        <v>271</v>
      </c>
      <c r="AF12" s="17" t="s">
        <v>277</v>
      </c>
      <c r="AG12" s="17" t="s">
        <v>274</v>
      </c>
      <c r="AH12" s="17" t="s">
        <v>275</v>
      </c>
      <c r="AI12" s="17" t="s">
        <v>276</v>
      </c>
      <c r="AJ12" s="17" t="s">
        <v>274</v>
      </c>
      <c r="AK12" s="17" t="s">
        <v>282</v>
      </c>
      <c r="AL12" s="17" t="s">
        <v>279</v>
      </c>
      <c r="AM12" s="17" t="s">
        <v>274</v>
      </c>
      <c r="AN12" s="17" t="s">
        <v>277</v>
      </c>
      <c r="AO12" s="17" t="s">
        <v>277</v>
      </c>
      <c r="AP12" s="17" t="s">
        <v>282</v>
      </c>
      <c r="AQ12" s="17" t="s">
        <v>281</v>
      </c>
      <c r="AR12" s="17" t="s">
        <v>281</v>
      </c>
      <c r="AS12" s="17" t="s">
        <v>281</v>
      </c>
      <c r="AT12" s="17" t="s">
        <v>276</v>
      </c>
      <c r="AU12" s="17" t="s">
        <v>270</v>
      </c>
      <c r="AV12" s="254" t="s">
        <v>274</v>
      </c>
      <c r="AX12" s="21" t="s">
        <v>705</v>
      </c>
      <c r="AY12">
        <v>9</v>
      </c>
      <c r="BB12">
        <v>2</v>
      </c>
      <c r="BE12">
        <v>1</v>
      </c>
      <c r="BG12">
        <v>1</v>
      </c>
      <c r="BJ12">
        <v>2</v>
      </c>
      <c r="BK12">
        <v>5</v>
      </c>
      <c r="BL12">
        <v>1</v>
      </c>
      <c r="BO12">
        <v>3</v>
      </c>
      <c r="BR12">
        <v>14</v>
      </c>
      <c r="BS12">
        <v>5</v>
      </c>
      <c r="BV12">
        <v>6</v>
      </c>
      <c r="BW12">
        <v>1</v>
      </c>
      <c r="BX12">
        <v>1</v>
      </c>
      <c r="CC12">
        <v>1</v>
      </c>
      <c r="CH12">
        <v>2</v>
      </c>
      <c r="CI12" s="22">
        <v>1</v>
      </c>
      <c r="CK12" s="21" t="s">
        <v>325</v>
      </c>
      <c r="CL12" s="26">
        <v>4</v>
      </c>
      <c r="CM12" s="26">
        <v>0</v>
      </c>
      <c r="CN12" s="26">
        <v>-2</v>
      </c>
      <c r="CO12" s="26">
        <v>2</v>
      </c>
      <c r="CP12" s="26">
        <v>0</v>
      </c>
      <c r="CQ12" s="26">
        <v>4</v>
      </c>
      <c r="CR12" s="26">
        <v>0</v>
      </c>
      <c r="CS12" s="26">
        <v>2</v>
      </c>
      <c r="CT12" s="26">
        <v>2</v>
      </c>
      <c r="CU12" s="26">
        <v>1</v>
      </c>
      <c r="CV12" s="26">
        <v>-2</v>
      </c>
      <c r="CW12" s="26">
        <v>10</v>
      </c>
      <c r="CX12" s="26">
        <v>0</v>
      </c>
      <c r="CY12" s="26">
        <v>0</v>
      </c>
      <c r="CZ12" s="26">
        <v>5</v>
      </c>
      <c r="DA12" s="26">
        <v>0</v>
      </c>
      <c r="DB12" s="26">
        <v>25</v>
      </c>
      <c r="DC12" s="28">
        <v>1</v>
      </c>
      <c r="DD12" s="1" t="s">
        <v>354</v>
      </c>
      <c r="DE12" s="26">
        <v>-3</v>
      </c>
      <c r="DF12" s="1">
        <v>53</v>
      </c>
      <c r="DG12" s="1">
        <v>53</v>
      </c>
      <c r="DH12" s="1">
        <v>84</v>
      </c>
      <c r="DI12" s="1">
        <v>84</v>
      </c>
      <c r="DJ12" s="1">
        <v>2</v>
      </c>
      <c r="DK12" s="29" t="s">
        <v>363</v>
      </c>
      <c r="DM12" s="16">
        <v>8</v>
      </c>
      <c r="DN12" s="35">
        <v>-9</v>
      </c>
      <c r="DQ12" s="21" t="s">
        <v>664</v>
      </c>
      <c r="DR12" s="1">
        <v>4</v>
      </c>
      <c r="DS12" s="1">
        <v>80</v>
      </c>
      <c r="DT12" s="1" t="s">
        <v>94</v>
      </c>
      <c r="DU12" s="1" t="s">
        <v>679</v>
      </c>
      <c r="DV12" t="s">
        <v>423</v>
      </c>
      <c r="DW12" s="1">
        <v>0</v>
      </c>
      <c r="DX12" s="22" t="s">
        <v>663</v>
      </c>
      <c r="DZ12" s="21" t="s">
        <v>446</v>
      </c>
      <c r="EA12">
        <v>9</v>
      </c>
      <c r="EB12" s="56">
        <v>0.13</v>
      </c>
      <c r="EC12" s="57">
        <v>70</v>
      </c>
      <c r="ED12" s="51">
        <v>-48</v>
      </c>
      <c r="EE12" s="58">
        <v>0</v>
      </c>
      <c r="EF12" s="58">
        <v>0</v>
      </c>
      <c r="EG12" s="771"/>
      <c r="EH12" s="51"/>
      <c r="EU12" s="21" t="s">
        <v>722</v>
      </c>
      <c r="EV12" s="2" t="s">
        <v>81</v>
      </c>
      <c r="EW12" s="2" t="s">
        <v>82</v>
      </c>
      <c r="EX12" s="2" t="s">
        <v>86</v>
      </c>
      <c r="EY12" s="2" t="s">
        <v>87</v>
      </c>
      <c r="EZ12" s="2" t="s">
        <v>90</v>
      </c>
      <c r="FA12" s="2" t="s">
        <v>302</v>
      </c>
      <c r="FB12" s="2" t="s">
        <v>303</v>
      </c>
      <c r="FC12" s="2" t="s">
        <v>144</v>
      </c>
      <c r="FD12" s="2" t="s">
        <v>157</v>
      </c>
      <c r="FE12" s="2" t="s">
        <v>178</v>
      </c>
      <c r="FF12" s="2" t="s">
        <v>180</v>
      </c>
      <c r="FG12" s="2" t="s">
        <v>181</v>
      </c>
      <c r="FH12" s="2" t="s">
        <v>213</v>
      </c>
      <c r="FI12" s="2" t="s">
        <v>215</v>
      </c>
      <c r="FJ12" s="127" t="s">
        <v>221</v>
      </c>
      <c r="FL12" s="128" t="s">
        <v>854</v>
      </c>
      <c r="FM12" s="1">
        <v>3</v>
      </c>
      <c r="FN12" s="1" t="s">
        <v>846</v>
      </c>
      <c r="FO12" s="1"/>
      <c r="FP12" s="11" t="s">
        <v>846</v>
      </c>
      <c r="FQ12">
        <v>9</v>
      </c>
      <c r="FR12" s="773" t="s">
        <v>947</v>
      </c>
      <c r="FS12" s="128" t="s">
        <v>824</v>
      </c>
      <c r="FT12" s="1">
        <f>Skills!F4</f>
        <v>0</v>
      </c>
      <c r="FU12" s="2" t="s">
        <v>853</v>
      </c>
      <c r="FV12" s="2" t="s">
        <v>860</v>
      </c>
      <c r="FW12" s="2" t="s">
        <v>882</v>
      </c>
      <c r="FX12" s="2" t="s">
        <v>901</v>
      </c>
      <c r="FY12" s="2" t="s">
        <v>903</v>
      </c>
      <c r="FZ12" s="2" t="s">
        <v>920</v>
      </c>
      <c r="GA12" s="2" t="s">
        <v>921</v>
      </c>
      <c r="GB12" s="2" t="s">
        <v>922</v>
      </c>
      <c r="GC12" s="2" t="s">
        <v>928</v>
      </c>
      <c r="GE12" s="127"/>
    </row>
    <row r="13" spans="1:187" ht="15" customHeight="1" thickBot="1" x14ac:dyDescent="0.3">
      <c r="A13" s="1">
        <v>9</v>
      </c>
      <c r="B13" s="1">
        <f t="shared" si="0"/>
        <v>45</v>
      </c>
      <c r="D13" s="21" t="s">
        <v>723</v>
      </c>
      <c r="E13" s="11">
        <v>10</v>
      </c>
      <c r="G13" s="21" t="s">
        <v>292</v>
      </c>
      <c r="H13" s="11">
        <v>10</v>
      </c>
      <c r="J13" s="21" t="s">
        <v>24</v>
      </c>
      <c r="K13" s="77">
        <f>VLOOKUP(Main!D21,Stat_Bonus,2,FALSE)</f>
        <v>-20</v>
      </c>
      <c r="M13" s="21" t="s">
        <v>723</v>
      </c>
      <c r="N13" s="1">
        <v>10</v>
      </c>
      <c r="O13" s="1">
        <v>0</v>
      </c>
      <c r="P13" s="17" t="s">
        <v>271</v>
      </c>
      <c r="Q13" s="17" t="s">
        <v>270</v>
      </c>
      <c r="R13" s="17" t="s">
        <v>274</v>
      </c>
      <c r="S13" s="17" t="s">
        <v>275</v>
      </c>
      <c r="T13" s="17" t="s">
        <v>271</v>
      </c>
      <c r="U13" s="17" t="s">
        <v>273</v>
      </c>
      <c r="V13" s="17" t="s">
        <v>273</v>
      </c>
      <c r="W13" s="17" t="s">
        <v>271</v>
      </c>
      <c r="X13" s="17" t="s">
        <v>274</v>
      </c>
      <c r="Y13" s="17" t="s">
        <v>275</v>
      </c>
      <c r="Z13" s="17" t="s">
        <v>270</v>
      </c>
      <c r="AA13" s="17" t="s">
        <v>270</v>
      </c>
      <c r="AB13" s="17" t="s">
        <v>278</v>
      </c>
      <c r="AC13" s="17" t="s">
        <v>270</v>
      </c>
      <c r="AD13" s="17" t="s">
        <v>270</v>
      </c>
      <c r="AE13" s="17" t="s">
        <v>273</v>
      </c>
      <c r="AF13" s="17" t="s">
        <v>277</v>
      </c>
      <c r="AG13" s="17" t="s">
        <v>274</v>
      </c>
      <c r="AH13" s="17" t="s">
        <v>279</v>
      </c>
      <c r="AI13" s="17" t="s">
        <v>271</v>
      </c>
      <c r="AJ13" s="17" t="s">
        <v>271</v>
      </c>
      <c r="AK13" s="17" t="s">
        <v>282</v>
      </c>
      <c r="AL13" s="17" t="s">
        <v>275</v>
      </c>
      <c r="AM13" s="17" t="s">
        <v>273</v>
      </c>
      <c r="AN13" s="17" t="s">
        <v>277</v>
      </c>
      <c r="AO13" s="17" t="s">
        <v>277</v>
      </c>
      <c r="AP13" s="17" t="s">
        <v>282</v>
      </c>
      <c r="AQ13" s="17" t="s">
        <v>281</v>
      </c>
      <c r="AR13" s="17" t="s">
        <v>281</v>
      </c>
      <c r="AS13" s="17" t="s">
        <v>281</v>
      </c>
      <c r="AT13" s="17" t="s">
        <v>272</v>
      </c>
      <c r="AU13" s="17" t="s">
        <v>279</v>
      </c>
      <c r="AV13" s="254" t="s">
        <v>274</v>
      </c>
      <c r="AX13" s="21" t="s">
        <v>292</v>
      </c>
      <c r="AY13">
        <v>10</v>
      </c>
      <c r="AZ13">
        <v>1</v>
      </c>
      <c r="BB13">
        <v>1</v>
      </c>
      <c r="BC13">
        <v>1</v>
      </c>
      <c r="BD13">
        <v>1</v>
      </c>
      <c r="BE13">
        <v>2</v>
      </c>
      <c r="BG13">
        <v>1</v>
      </c>
      <c r="BH13">
        <v>1</v>
      </c>
      <c r="BJ13">
        <v>1</v>
      </c>
      <c r="BK13">
        <v>4</v>
      </c>
      <c r="BO13">
        <v>2</v>
      </c>
      <c r="BQ13">
        <v>1</v>
      </c>
      <c r="BR13">
        <v>13</v>
      </c>
      <c r="BS13">
        <v>5</v>
      </c>
      <c r="BV13">
        <v>4</v>
      </c>
      <c r="BX13">
        <v>1</v>
      </c>
      <c r="CA13">
        <v>1</v>
      </c>
      <c r="CC13">
        <v>2</v>
      </c>
      <c r="CD13">
        <v>1</v>
      </c>
      <c r="CF13">
        <v>1</v>
      </c>
      <c r="CI13" s="22">
        <v>1</v>
      </c>
      <c r="CK13" s="21" t="s">
        <v>326</v>
      </c>
      <c r="CL13" s="26">
        <v>46</v>
      </c>
      <c r="CM13" s="26">
        <v>5</v>
      </c>
      <c r="CN13" s="26">
        <v>5</v>
      </c>
      <c r="CO13" s="26">
        <v>-3</v>
      </c>
      <c r="CP13" s="26">
        <v>0</v>
      </c>
      <c r="CQ13" s="26">
        <v>0</v>
      </c>
      <c r="CR13" s="26">
        <v>-3</v>
      </c>
      <c r="CS13" s="26">
        <v>2</v>
      </c>
      <c r="CT13" s="26">
        <v>0</v>
      </c>
      <c r="CU13" s="26">
        <v>-5</v>
      </c>
      <c r="CV13" s="26">
        <v>0</v>
      </c>
      <c r="CW13" s="26">
        <v>0</v>
      </c>
      <c r="CX13" s="26">
        <v>0</v>
      </c>
      <c r="CY13" s="26">
        <v>0</v>
      </c>
      <c r="CZ13" s="26">
        <v>5</v>
      </c>
      <c r="DA13" s="26">
        <v>0</v>
      </c>
      <c r="DB13" s="26">
        <v>25</v>
      </c>
      <c r="DC13" s="28">
        <v>0.5</v>
      </c>
      <c r="DD13" s="1" t="s">
        <v>360</v>
      </c>
      <c r="DE13" s="26">
        <v>-6</v>
      </c>
      <c r="DF13" s="1">
        <v>36</v>
      </c>
      <c r="DG13" s="1">
        <v>34</v>
      </c>
      <c r="DH13" s="1">
        <v>35</v>
      </c>
      <c r="DI13" s="1">
        <v>31</v>
      </c>
      <c r="DJ13" s="1">
        <v>1</v>
      </c>
      <c r="DK13" s="29" t="s">
        <v>364</v>
      </c>
      <c r="DM13" s="16">
        <v>9</v>
      </c>
      <c r="DN13" s="35">
        <v>-8.6999999999999993</v>
      </c>
      <c r="DQ13" s="21" t="s">
        <v>424</v>
      </c>
      <c r="DR13" s="1">
        <v>4</v>
      </c>
      <c r="DS13" s="1">
        <v>75</v>
      </c>
      <c r="DT13" s="1" t="s">
        <v>648</v>
      </c>
      <c r="DU13" s="1" t="s">
        <v>682</v>
      </c>
      <c r="DV13" t="s">
        <v>686</v>
      </c>
      <c r="DW13" s="1">
        <v>0</v>
      </c>
      <c r="DX13" s="22" t="s">
        <v>424</v>
      </c>
      <c r="DZ13" s="23" t="s">
        <v>447</v>
      </c>
      <c r="EA13" s="45">
        <v>10</v>
      </c>
      <c r="EB13" s="59">
        <v>0.15</v>
      </c>
      <c r="EC13" s="60">
        <v>75</v>
      </c>
      <c r="ED13" s="61">
        <v>-55</v>
      </c>
      <c r="EE13" s="62">
        <v>0</v>
      </c>
      <c r="EF13" s="62">
        <v>0</v>
      </c>
      <c r="EG13" s="772"/>
      <c r="EH13" s="51"/>
      <c r="EU13" s="21" t="s">
        <v>723</v>
      </c>
      <c r="EV13" s="2" t="s">
        <v>82</v>
      </c>
      <c r="EW13" s="2" t="s">
        <v>105</v>
      </c>
      <c r="EX13" s="2" t="s">
        <v>111</v>
      </c>
      <c r="EY13" s="2" t="s">
        <v>114</v>
      </c>
      <c r="EZ13" s="2" t="s">
        <v>302</v>
      </c>
      <c r="FA13" s="2" t="s">
        <v>303</v>
      </c>
      <c r="FB13" s="2" t="s">
        <v>117</v>
      </c>
      <c r="FC13" s="2" t="s">
        <v>154</v>
      </c>
      <c r="FD13" s="2" t="s">
        <v>157</v>
      </c>
      <c r="FE13" s="2" t="s">
        <v>180</v>
      </c>
      <c r="FF13" s="2" t="s">
        <v>184</v>
      </c>
      <c r="FG13" s="2" t="s">
        <v>185</v>
      </c>
      <c r="FH13" s="2" t="s">
        <v>204</v>
      </c>
      <c r="FI13" s="2" t="s">
        <v>206</v>
      </c>
      <c r="FJ13" s="127" t="s">
        <v>207</v>
      </c>
      <c r="FL13" s="128" t="s">
        <v>855</v>
      </c>
      <c r="FM13" s="1">
        <v>4</v>
      </c>
      <c r="FN13" s="1" t="s">
        <v>846</v>
      </c>
      <c r="FO13" s="1"/>
      <c r="FP13" s="11"/>
      <c r="FQ13">
        <v>10</v>
      </c>
      <c r="FR13" s="773"/>
      <c r="FS13" s="128" t="s">
        <v>825</v>
      </c>
      <c r="FT13" s="1">
        <f>Skills!F5</f>
        <v>0</v>
      </c>
      <c r="FU13" s="2" t="s">
        <v>848</v>
      </c>
      <c r="FV13" s="2" t="s">
        <v>859</v>
      </c>
      <c r="FW13" s="2" t="s">
        <v>890</v>
      </c>
      <c r="FX13" s="2" t="s">
        <v>891</v>
      </c>
      <c r="FY13" s="2" t="s">
        <v>895</v>
      </c>
      <c r="FZ13" s="2" t="s">
        <v>931</v>
      </c>
      <c r="GA13" s="2" t="s">
        <v>934</v>
      </c>
      <c r="GE13" s="127"/>
    </row>
    <row r="14" spans="1:187" ht="15" customHeight="1" thickBot="1" x14ac:dyDescent="0.3">
      <c r="A14" s="1">
        <v>10</v>
      </c>
      <c r="B14" s="1">
        <f t="shared" si="0"/>
        <v>50</v>
      </c>
      <c r="D14" s="21" t="s">
        <v>724</v>
      </c>
      <c r="E14" s="11">
        <v>11</v>
      </c>
      <c r="G14" s="21" t="s">
        <v>706</v>
      </c>
      <c r="H14" s="11">
        <v>11</v>
      </c>
      <c r="J14" s="23" t="s">
        <v>25</v>
      </c>
      <c r="K14" s="78">
        <f>VLOOKUP(Main!D22,Stat_Bonus,2,FALSE)</f>
        <v>-20</v>
      </c>
      <c r="M14" s="21" t="s">
        <v>724</v>
      </c>
      <c r="N14" s="1">
        <v>11</v>
      </c>
      <c r="O14" s="1">
        <v>0</v>
      </c>
      <c r="P14" s="17" t="s">
        <v>274</v>
      </c>
      <c r="Q14" s="17" t="s">
        <v>271</v>
      </c>
      <c r="R14" s="17" t="s">
        <v>277</v>
      </c>
      <c r="S14" s="17" t="s">
        <v>279</v>
      </c>
      <c r="T14" s="17" t="s">
        <v>272</v>
      </c>
      <c r="U14" s="17" t="s">
        <v>277</v>
      </c>
      <c r="V14" s="17" t="s">
        <v>274</v>
      </c>
      <c r="W14" s="17" t="s">
        <v>272</v>
      </c>
      <c r="X14" s="17" t="s">
        <v>279</v>
      </c>
      <c r="Y14" s="17" t="s">
        <v>277</v>
      </c>
      <c r="Z14" s="17" t="s">
        <v>273</v>
      </c>
      <c r="AA14" s="17" t="s">
        <v>270</v>
      </c>
      <c r="AB14" s="17" t="s">
        <v>272</v>
      </c>
      <c r="AC14" s="17" t="s">
        <v>270</v>
      </c>
      <c r="AD14" s="17" t="s">
        <v>272</v>
      </c>
      <c r="AE14" s="17" t="s">
        <v>273</v>
      </c>
      <c r="AF14" s="17" t="s">
        <v>275</v>
      </c>
      <c r="AG14" s="17" t="s">
        <v>271</v>
      </c>
      <c r="AH14" s="17" t="s">
        <v>270</v>
      </c>
      <c r="AI14" s="17" t="s">
        <v>274</v>
      </c>
      <c r="AJ14" s="17" t="s">
        <v>276</v>
      </c>
      <c r="AK14" s="17" t="s">
        <v>279</v>
      </c>
      <c r="AL14" s="17" t="s">
        <v>274</v>
      </c>
      <c r="AM14" s="17" t="s">
        <v>276</v>
      </c>
      <c r="AN14" s="17" t="s">
        <v>279</v>
      </c>
      <c r="AO14" s="17" t="s">
        <v>279</v>
      </c>
      <c r="AP14" s="17" t="s">
        <v>278</v>
      </c>
      <c r="AQ14" s="17" t="s">
        <v>282</v>
      </c>
      <c r="AR14" s="17" t="s">
        <v>281</v>
      </c>
      <c r="AS14" s="17" t="s">
        <v>281</v>
      </c>
      <c r="AT14" s="17" t="s">
        <v>272</v>
      </c>
      <c r="AU14" s="17" t="s">
        <v>274</v>
      </c>
      <c r="AV14" s="254" t="s">
        <v>274</v>
      </c>
      <c r="AX14" s="21" t="s">
        <v>706</v>
      </c>
      <c r="AY14">
        <v>11</v>
      </c>
      <c r="AZ14">
        <v>2</v>
      </c>
      <c r="BB14">
        <v>1</v>
      </c>
      <c r="BC14">
        <v>1</v>
      </c>
      <c r="BE14">
        <v>1</v>
      </c>
      <c r="BG14">
        <v>1</v>
      </c>
      <c r="BI14">
        <v>2</v>
      </c>
      <c r="BK14">
        <v>3</v>
      </c>
      <c r="BO14">
        <v>2</v>
      </c>
      <c r="BR14">
        <v>11</v>
      </c>
      <c r="BS14">
        <v>5</v>
      </c>
      <c r="BV14">
        <v>4</v>
      </c>
      <c r="BW14">
        <v>1</v>
      </c>
      <c r="BX14">
        <v>1</v>
      </c>
      <c r="CA14">
        <v>2</v>
      </c>
      <c r="CC14">
        <v>2</v>
      </c>
      <c r="CF14">
        <v>1</v>
      </c>
      <c r="CH14">
        <v>1</v>
      </c>
      <c r="CI14" s="22">
        <v>2</v>
      </c>
      <c r="CK14" s="21" t="s">
        <v>327</v>
      </c>
      <c r="CL14" s="26">
        <v>11</v>
      </c>
      <c r="CM14" s="26">
        <v>1</v>
      </c>
      <c r="CN14" s="26">
        <v>3</v>
      </c>
      <c r="CO14" s="26">
        <v>-2</v>
      </c>
      <c r="CP14" s="26">
        <v>0</v>
      </c>
      <c r="CQ14" s="26">
        <v>0</v>
      </c>
      <c r="CR14" s="26">
        <v>-2</v>
      </c>
      <c r="CS14" s="26">
        <v>0</v>
      </c>
      <c r="CT14" s="26">
        <v>0</v>
      </c>
      <c r="CU14" s="26">
        <v>-2</v>
      </c>
      <c r="CV14" s="26">
        <v>2</v>
      </c>
      <c r="CW14" s="26">
        <v>0</v>
      </c>
      <c r="CX14" s="26">
        <v>0</v>
      </c>
      <c r="CY14" s="26">
        <v>0</v>
      </c>
      <c r="CZ14" s="26">
        <v>0</v>
      </c>
      <c r="DA14" s="26">
        <v>0</v>
      </c>
      <c r="DB14" s="26">
        <v>25</v>
      </c>
      <c r="DC14" s="28">
        <v>1</v>
      </c>
      <c r="DD14" s="1" t="s">
        <v>354</v>
      </c>
      <c r="DE14" s="26">
        <v>-2</v>
      </c>
      <c r="DF14" s="1">
        <v>64</v>
      </c>
      <c r="DG14" s="1">
        <v>62</v>
      </c>
      <c r="DH14" s="1">
        <v>230</v>
      </c>
      <c r="DI14" s="1">
        <v>250</v>
      </c>
      <c r="DJ14" s="1">
        <v>5</v>
      </c>
      <c r="DK14" s="29" t="s">
        <v>365</v>
      </c>
      <c r="DM14" s="16">
        <v>10</v>
      </c>
      <c r="DN14" s="35">
        <v>-8.3000000000000007</v>
      </c>
      <c r="DQ14" s="21" t="s">
        <v>617</v>
      </c>
      <c r="DR14" s="1">
        <v>3</v>
      </c>
      <c r="DS14" s="1">
        <v>80</v>
      </c>
      <c r="DT14" s="1" t="s">
        <v>94</v>
      </c>
      <c r="DU14" s="1" t="s">
        <v>648</v>
      </c>
      <c r="DV14" t="s">
        <v>415</v>
      </c>
      <c r="DW14" s="1">
        <v>0</v>
      </c>
      <c r="DX14" s="22" t="s">
        <v>617</v>
      </c>
      <c r="DZ14" s="18" t="s">
        <v>401</v>
      </c>
      <c r="EA14" s="19">
        <v>1</v>
      </c>
      <c r="EB14" s="53">
        <v>0</v>
      </c>
      <c r="EC14" s="54">
        <v>0</v>
      </c>
      <c r="ED14" s="55">
        <v>0</v>
      </c>
      <c r="EE14" s="55">
        <v>0</v>
      </c>
      <c r="EF14" s="55">
        <v>0</v>
      </c>
      <c r="EG14" s="770" t="s">
        <v>449</v>
      </c>
      <c r="EU14" s="21" t="s">
        <v>724</v>
      </c>
      <c r="EV14" s="2" t="s">
        <v>86</v>
      </c>
      <c r="EW14" s="2" t="s">
        <v>124</v>
      </c>
      <c r="EX14" s="2" t="s">
        <v>154</v>
      </c>
      <c r="EY14" s="2" t="s">
        <v>789</v>
      </c>
      <c r="EZ14" s="2" t="s">
        <v>814</v>
      </c>
      <c r="FA14" s="2" t="s">
        <v>158</v>
      </c>
      <c r="FB14" s="2" t="s">
        <v>184</v>
      </c>
      <c r="FC14" s="2" t="s">
        <v>185</v>
      </c>
      <c r="FD14" s="2" t="s">
        <v>204</v>
      </c>
      <c r="FE14" s="2" t="s">
        <v>206</v>
      </c>
      <c r="FF14" s="2" t="s">
        <v>207</v>
      </c>
      <c r="FG14" s="2" t="s">
        <v>208</v>
      </c>
      <c r="FH14" s="2" t="s">
        <v>225</v>
      </c>
      <c r="FI14" s="2" t="s">
        <v>226</v>
      </c>
      <c r="FJ14" s="127" t="s">
        <v>227</v>
      </c>
      <c r="FL14" s="128" t="s">
        <v>856</v>
      </c>
      <c r="FM14" s="1">
        <v>3</v>
      </c>
      <c r="FN14" s="1" t="s">
        <v>846</v>
      </c>
      <c r="FO14" s="1"/>
      <c r="FP14" s="11"/>
      <c r="FR14" s="773"/>
      <c r="FS14" s="128" t="s">
        <v>424</v>
      </c>
      <c r="FT14" s="1">
        <f>Skills!F6</f>
        <v>0</v>
      </c>
      <c r="FU14" s="2" t="s">
        <v>853</v>
      </c>
      <c r="FV14" s="2" t="s">
        <v>865</v>
      </c>
      <c r="FW14" s="2" t="s">
        <v>869</v>
      </c>
      <c r="FX14" s="2" t="s">
        <v>903</v>
      </c>
      <c r="FY14" s="2" t="s">
        <v>920</v>
      </c>
      <c r="FZ14" s="2" t="s">
        <v>921</v>
      </c>
      <c r="GA14" s="2" t="s">
        <v>922</v>
      </c>
      <c r="GB14" s="2" t="s">
        <v>928</v>
      </c>
      <c r="GE14" s="127"/>
    </row>
    <row r="15" spans="1:187" ht="15" customHeight="1" thickBot="1" x14ac:dyDescent="0.3">
      <c r="A15" s="1">
        <v>11</v>
      </c>
      <c r="B15" s="1">
        <f>3*(A15-10)+50</f>
        <v>53</v>
      </c>
      <c r="D15" s="21" t="s">
        <v>243</v>
      </c>
      <c r="E15" s="11">
        <v>12</v>
      </c>
      <c r="G15" s="21" t="s">
        <v>707</v>
      </c>
      <c r="H15" s="11">
        <v>12</v>
      </c>
      <c r="M15" s="21" t="s">
        <v>243</v>
      </c>
      <c r="N15" s="1">
        <v>12</v>
      </c>
      <c r="O15" s="1">
        <v>0</v>
      </c>
      <c r="P15" s="1" t="s">
        <v>274</v>
      </c>
      <c r="Q15" s="1" t="s">
        <v>273</v>
      </c>
      <c r="R15" s="1" t="s">
        <v>277</v>
      </c>
      <c r="S15" s="1" t="s">
        <v>278</v>
      </c>
      <c r="T15" s="1" t="s">
        <v>278</v>
      </c>
      <c r="U15" s="1" t="s">
        <v>277</v>
      </c>
      <c r="V15" s="1" t="s">
        <v>279</v>
      </c>
      <c r="W15" s="1" t="s">
        <v>278</v>
      </c>
      <c r="X15" s="1" t="s">
        <v>282</v>
      </c>
      <c r="Y15" s="1" t="s">
        <v>281</v>
      </c>
      <c r="Z15" s="1" t="s">
        <v>276</v>
      </c>
      <c r="AA15" s="1" t="s">
        <v>271</v>
      </c>
      <c r="AB15" s="1" t="s">
        <v>271</v>
      </c>
      <c r="AC15" s="1" t="s">
        <v>270</v>
      </c>
      <c r="AD15" s="1" t="s">
        <v>272</v>
      </c>
      <c r="AE15" s="1" t="s">
        <v>276</v>
      </c>
      <c r="AF15" s="1" t="s">
        <v>275</v>
      </c>
      <c r="AG15" s="1" t="s">
        <v>273</v>
      </c>
      <c r="AH15" s="1" t="s">
        <v>273</v>
      </c>
      <c r="AI15" s="1" t="s">
        <v>272</v>
      </c>
      <c r="AJ15" s="1" t="s">
        <v>273</v>
      </c>
      <c r="AK15" s="1" t="s">
        <v>275</v>
      </c>
      <c r="AL15" s="1" t="s">
        <v>273</v>
      </c>
      <c r="AM15" s="1" t="s">
        <v>271</v>
      </c>
      <c r="AN15" s="1" t="s">
        <v>275</v>
      </c>
      <c r="AO15" s="1" t="s">
        <v>275</v>
      </c>
      <c r="AP15" s="1" t="s">
        <v>279</v>
      </c>
      <c r="AQ15" s="1" t="s">
        <v>277</v>
      </c>
      <c r="AR15" s="1" t="s">
        <v>281</v>
      </c>
      <c r="AS15" s="1" t="s">
        <v>281</v>
      </c>
      <c r="AT15" s="1" t="s">
        <v>275</v>
      </c>
      <c r="AU15" s="1" t="s">
        <v>270</v>
      </c>
      <c r="AV15" s="11" t="s">
        <v>274</v>
      </c>
      <c r="AX15" s="21" t="s">
        <v>707</v>
      </c>
      <c r="AY15">
        <v>12</v>
      </c>
      <c r="BB15">
        <v>2</v>
      </c>
      <c r="BE15">
        <v>2</v>
      </c>
      <c r="BF15">
        <v>1</v>
      </c>
      <c r="BG15">
        <v>1</v>
      </c>
      <c r="BJ15">
        <v>2</v>
      </c>
      <c r="BK15">
        <v>9</v>
      </c>
      <c r="BO15">
        <v>1</v>
      </c>
      <c r="BR15">
        <v>16</v>
      </c>
      <c r="BS15">
        <v>5</v>
      </c>
      <c r="BV15">
        <v>6</v>
      </c>
      <c r="BX15">
        <v>1</v>
      </c>
      <c r="CC15">
        <v>1</v>
      </c>
      <c r="CF15">
        <v>1</v>
      </c>
      <c r="CG15">
        <v>2</v>
      </c>
      <c r="CI15" s="22"/>
      <c r="CK15" s="21" t="s">
        <v>328</v>
      </c>
      <c r="CL15" s="26">
        <v>18</v>
      </c>
      <c r="CM15" s="26">
        <v>2</v>
      </c>
      <c r="CN15" s="26">
        <v>0</v>
      </c>
      <c r="CO15" s="26">
        <v>0</v>
      </c>
      <c r="CP15" s="26">
        <v>0</v>
      </c>
      <c r="CQ15" s="26">
        <v>0</v>
      </c>
      <c r="CR15" s="26">
        <v>2</v>
      </c>
      <c r="CS15" s="26">
        <v>2</v>
      </c>
      <c r="CT15" s="26">
        <v>0</v>
      </c>
      <c r="CU15" s="26">
        <v>-3</v>
      </c>
      <c r="CV15" s="26">
        <v>2</v>
      </c>
      <c r="CW15" s="26">
        <v>-5</v>
      </c>
      <c r="CX15" s="26">
        <v>-5</v>
      </c>
      <c r="CY15" s="26">
        <v>-5</v>
      </c>
      <c r="CZ15" s="26">
        <v>5</v>
      </c>
      <c r="DA15" s="26">
        <v>5</v>
      </c>
      <c r="DB15" s="26">
        <v>25</v>
      </c>
      <c r="DC15" s="28">
        <v>1</v>
      </c>
      <c r="DD15" s="1" t="s">
        <v>354</v>
      </c>
      <c r="DE15" s="26">
        <v>1</v>
      </c>
      <c r="DF15" s="1">
        <v>75</v>
      </c>
      <c r="DG15" s="1">
        <v>71</v>
      </c>
      <c r="DH15" s="1">
        <v>190</v>
      </c>
      <c r="DI15" s="1">
        <v>135</v>
      </c>
      <c r="DJ15" s="1">
        <v>4</v>
      </c>
      <c r="DK15" s="29" t="s">
        <v>366</v>
      </c>
      <c r="DM15" s="16">
        <v>11</v>
      </c>
      <c r="DN15" s="35">
        <v>-8</v>
      </c>
      <c r="DQ15" s="21" t="s">
        <v>673</v>
      </c>
      <c r="DR15" s="1">
        <v>3</v>
      </c>
      <c r="DS15" s="1">
        <v>25</v>
      </c>
      <c r="DT15" s="1" t="s">
        <v>94</v>
      </c>
      <c r="DU15" s="1" t="s">
        <v>648</v>
      </c>
      <c r="DV15" t="s">
        <v>426</v>
      </c>
      <c r="DW15" s="1">
        <v>-1</v>
      </c>
      <c r="DX15" s="22" t="s">
        <v>435</v>
      </c>
      <c r="DZ15" s="21" t="s">
        <v>440</v>
      </c>
      <c r="EA15">
        <v>2</v>
      </c>
      <c r="EB15" s="56">
        <v>0.01</v>
      </c>
      <c r="EC15" s="57">
        <v>30</v>
      </c>
      <c r="ED15" s="51">
        <v>0</v>
      </c>
      <c r="EE15" s="58">
        <v>0</v>
      </c>
      <c r="EF15" s="58">
        <v>-3</v>
      </c>
      <c r="EG15" s="771"/>
      <c r="EU15" s="21" t="s">
        <v>243</v>
      </c>
      <c r="EV15" s="2" t="s">
        <v>124</v>
      </c>
      <c r="EW15" s="2" t="s">
        <v>153</v>
      </c>
      <c r="EX15" s="2" t="s">
        <v>154</v>
      </c>
      <c r="EY15" s="2" t="s">
        <v>161</v>
      </c>
      <c r="EZ15" s="2" t="s">
        <v>155</v>
      </c>
      <c r="FA15" s="2" t="s">
        <v>156</v>
      </c>
      <c r="FB15" s="2" t="s">
        <v>157</v>
      </c>
      <c r="FC15" s="2" t="s">
        <v>158</v>
      </c>
      <c r="FD15" s="2" t="s">
        <v>198</v>
      </c>
      <c r="FE15" s="2" t="s">
        <v>199</v>
      </c>
      <c r="FF15" s="2" t="s">
        <v>200</v>
      </c>
      <c r="FG15" s="2" t="s">
        <v>201</v>
      </c>
      <c r="FH15" s="2" t="s">
        <v>225</v>
      </c>
      <c r="FI15" s="2" t="s">
        <v>226</v>
      </c>
      <c r="FJ15" s="127" t="s">
        <v>227</v>
      </c>
      <c r="FL15" s="128" t="s">
        <v>857</v>
      </c>
      <c r="FM15" s="1">
        <v>6</v>
      </c>
      <c r="FN15" s="1"/>
      <c r="FO15" s="1" t="s">
        <v>846</v>
      </c>
      <c r="FP15" s="11"/>
      <c r="FR15" s="773"/>
      <c r="FS15" s="128" t="s">
        <v>826</v>
      </c>
      <c r="FT15" s="1">
        <f>Skills!F7</f>
        <v>0</v>
      </c>
      <c r="FU15" s="2" t="s">
        <v>854</v>
      </c>
      <c r="FV15" s="2" t="s">
        <v>858</v>
      </c>
      <c r="FW15" s="2" t="s">
        <v>866</v>
      </c>
      <c r="FX15" s="2" t="s">
        <v>878</v>
      </c>
      <c r="FY15" s="2" t="s">
        <v>890</v>
      </c>
      <c r="FZ15" s="2" t="s">
        <v>913</v>
      </c>
      <c r="GA15" s="2" t="s">
        <v>914</v>
      </c>
      <c r="GE15" s="127"/>
    </row>
    <row r="16" spans="1:187" ht="15" customHeight="1" x14ac:dyDescent="0.25">
      <c r="A16" s="1">
        <v>12</v>
      </c>
      <c r="B16" s="1">
        <f t="shared" ref="B16:B24" si="1">3*(A16-10)+50</f>
        <v>56</v>
      </c>
      <c r="D16" s="21" t="s">
        <v>244</v>
      </c>
      <c r="E16" s="11">
        <v>13</v>
      </c>
      <c r="G16" s="21" t="s">
        <v>293</v>
      </c>
      <c r="H16" s="11">
        <v>13</v>
      </c>
      <c r="J16" s="18" t="s">
        <v>302</v>
      </c>
      <c r="K16" s="20"/>
      <c r="M16" s="21" t="s">
        <v>244</v>
      </c>
      <c r="N16" s="1">
        <v>13</v>
      </c>
      <c r="O16" s="1" t="e">
        <v>#N/A</v>
      </c>
      <c r="P16" s="1" t="s">
        <v>273</v>
      </c>
      <c r="Q16" s="1" t="s">
        <v>273</v>
      </c>
      <c r="R16" s="1" t="s">
        <v>275</v>
      </c>
      <c r="S16" s="1" t="s">
        <v>278</v>
      </c>
      <c r="T16" s="1" t="s">
        <v>275</v>
      </c>
      <c r="U16" s="1" t="s">
        <v>272</v>
      </c>
      <c r="V16" s="1" t="s">
        <v>274</v>
      </c>
      <c r="W16" s="1" t="s">
        <v>272</v>
      </c>
      <c r="X16" s="1" t="s">
        <v>279</v>
      </c>
      <c r="Y16" s="1" t="s">
        <v>277</v>
      </c>
      <c r="Z16" s="1" t="s">
        <v>274</v>
      </c>
      <c r="AA16" s="1" t="s">
        <v>270</v>
      </c>
      <c r="AB16" s="1" t="s">
        <v>278</v>
      </c>
      <c r="AC16" s="1" t="s">
        <v>273</v>
      </c>
      <c r="AD16" s="1" t="s">
        <v>274</v>
      </c>
      <c r="AE16" s="1" t="s">
        <v>270</v>
      </c>
      <c r="AF16" s="1" t="s">
        <v>278</v>
      </c>
      <c r="AG16" s="1" t="s">
        <v>272</v>
      </c>
      <c r="AH16" s="1" t="s">
        <v>279</v>
      </c>
      <c r="AI16" s="1" t="s">
        <v>273</v>
      </c>
      <c r="AJ16" s="1" t="s">
        <v>274</v>
      </c>
      <c r="AK16" s="1" t="s">
        <v>275</v>
      </c>
      <c r="AL16" s="1" t="s">
        <v>279</v>
      </c>
      <c r="AM16" s="1" t="s">
        <v>274</v>
      </c>
      <c r="AN16" s="1" t="s">
        <v>274</v>
      </c>
      <c r="AO16" s="1" t="s">
        <v>274</v>
      </c>
      <c r="AP16" s="1" t="s">
        <v>272</v>
      </c>
      <c r="AQ16" s="1" t="s">
        <v>279</v>
      </c>
      <c r="AR16" s="1" t="s">
        <v>286</v>
      </c>
      <c r="AS16" s="1" t="s">
        <v>281</v>
      </c>
      <c r="AT16" s="1" t="s">
        <v>270</v>
      </c>
      <c r="AU16" s="1" t="s">
        <v>279</v>
      </c>
      <c r="AV16" s="11" t="s">
        <v>274</v>
      </c>
      <c r="AX16" s="21" t="s">
        <v>293</v>
      </c>
      <c r="AY16">
        <v>13</v>
      </c>
      <c r="BB16">
        <v>2</v>
      </c>
      <c r="BE16">
        <v>1</v>
      </c>
      <c r="BF16">
        <v>1</v>
      </c>
      <c r="BG16">
        <v>1</v>
      </c>
      <c r="BJ16">
        <v>1</v>
      </c>
      <c r="BK16">
        <v>4</v>
      </c>
      <c r="BM16">
        <v>1</v>
      </c>
      <c r="BO16">
        <v>1</v>
      </c>
      <c r="BP16">
        <v>1</v>
      </c>
      <c r="BQ16">
        <v>1</v>
      </c>
      <c r="BR16">
        <v>15</v>
      </c>
      <c r="BS16">
        <v>5</v>
      </c>
      <c r="BT16">
        <v>2</v>
      </c>
      <c r="BV16">
        <v>5</v>
      </c>
      <c r="BX16">
        <v>1</v>
      </c>
      <c r="CA16">
        <v>1</v>
      </c>
      <c r="CC16">
        <v>1</v>
      </c>
      <c r="CD16">
        <v>2</v>
      </c>
      <c r="CE16">
        <v>1</v>
      </c>
      <c r="CF16">
        <v>1</v>
      </c>
      <c r="CG16">
        <v>1</v>
      </c>
      <c r="CI16" s="22"/>
      <c r="CK16" s="21" t="s">
        <v>329</v>
      </c>
      <c r="CL16" s="26">
        <v>29</v>
      </c>
      <c r="CM16" s="26">
        <v>5</v>
      </c>
      <c r="CN16" s="26">
        <v>4</v>
      </c>
      <c r="CO16" s="26">
        <v>-2</v>
      </c>
      <c r="CP16" s="26">
        <v>0</v>
      </c>
      <c r="CQ16" s="26">
        <v>0</v>
      </c>
      <c r="CR16" s="26">
        <v>-5</v>
      </c>
      <c r="CS16" s="26">
        <v>4</v>
      </c>
      <c r="CT16" s="26">
        <v>0</v>
      </c>
      <c r="CU16" s="26">
        <v>-4</v>
      </c>
      <c r="CV16" s="26">
        <v>0</v>
      </c>
      <c r="CW16" s="26">
        <v>0</v>
      </c>
      <c r="CX16" s="26">
        <v>25</v>
      </c>
      <c r="CY16" s="26">
        <v>20</v>
      </c>
      <c r="CZ16" s="26">
        <v>10</v>
      </c>
      <c r="DA16" s="26">
        <v>0</v>
      </c>
      <c r="DB16" s="26">
        <v>25</v>
      </c>
      <c r="DC16" s="28">
        <v>1</v>
      </c>
      <c r="DD16" s="1" t="s">
        <v>360</v>
      </c>
      <c r="DE16" s="26">
        <v>-5</v>
      </c>
      <c r="DF16" s="1">
        <v>42</v>
      </c>
      <c r="DG16" s="1">
        <v>39</v>
      </c>
      <c r="DH16" s="1">
        <v>50</v>
      </c>
      <c r="DI16" s="1">
        <v>46</v>
      </c>
      <c r="DJ16" s="1">
        <v>2</v>
      </c>
      <c r="DK16" s="29" t="s">
        <v>367</v>
      </c>
      <c r="DM16" s="16">
        <v>12</v>
      </c>
      <c r="DN16" s="35">
        <v>-7.7</v>
      </c>
      <c r="DQ16" s="21" t="s">
        <v>620</v>
      </c>
      <c r="DR16" s="1">
        <v>3</v>
      </c>
      <c r="DS16" s="1">
        <v>80</v>
      </c>
      <c r="DT16" s="1" t="s">
        <v>94</v>
      </c>
      <c r="DU16" s="1" t="s">
        <v>94</v>
      </c>
      <c r="DV16" t="s">
        <v>415</v>
      </c>
      <c r="DW16" s="1">
        <v>-1</v>
      </c>
      <c r="DX16" s="22" t="s">
        <v>621</v>
      </c>
      <c r="DZ16" s="21" t="s">
        <v>441</v>
      </c>
      <c r="EA16">
        <v>3</v>
      </c>
      <c r="EB16" s="56">
        <v>0.01</v>
      </c>
      <c r="EC16" s="57">
        <v>30</v>
      </c>
      <c r="ED16" s="51">
        <v>0</v>
      </c>
      <c r="EE16" s="58">
        <v>0</v>
      </c>
      <c r="EF16" s="58">
        <v>-5</v>
      </c>
      <c r="EG16" s="771"/>
      <c r="EU16" s="21" t="s">
        <v>244</v>
      </c>
      <c r="EV16" s="2" t="s">
        <v>81</v>
      </c>
      <c r="EW16" s="2" t="s">
        <v>82</v>
      </c>
      <c r="EX16" s="2" t="s">
        <v>86</v>
      </c>
      <c r="EY16" s="2" t="s">
        <v>87</v>
      </c>
      <c r="EZ16" s="2" t="s">
        <v>302</v>
      </c>
      <c r="FA16" s="2" t="s">
        <v>303</v>
      </c>
      <c r="FB16" s="2" t="s">
        <v>142</v>
      </c>
      <c r="FC16" s="2" t="s">
        <v>144</v>
      </c>
      <c r="FD16" s="2" t="s">
        <v>153</v>
      </c>
      <c r="FE16" s="2" t="s">
        <v>157</v>
      </c>
      <c r="FF16" s="2" t="s">
        <v>178</v>
      </c>
      <c r="FG16" s="2" t="s">
        <v>180</v>
      </c>
      <c r="FH16" s="2" t="s">
        <v>181</v>
      </c>
      <c r="FI16" s="2" t="s">
        <v>214</v>
      </c>
      <c r="FJ16" s="127" t="s">
        <v>215</v>
      </c>
      <c r="FL16" s="128" t="s">
        <v>858</v>
      </c>
      <c r="FM16" s="1">
        <v>4</v>
      </c>
      <c r="FN16" s="1"/>
      <c r="FO16" s="1" t="s">
        <v>846</v>
      </c>
      <c r="FP16" s="11" t="s">
        <v>846</v>
      </c>
      <c r="FR16" s="773"/>
      <c r="FS16" s="128" t="s">
        <v>827</v>
      </c>
      <c r="FT16" s="1">
        <f>Skills!F8</f>
        <v>0</v>
      </c>
      <c r="FU16" s="2" t="s">
        <v>945</v>
      </c>
      <c r="FV16" s="2" t="s">
        <v>900</v>
      </c>
      <c r="FW16" s="2" t="s">
        <v>880</v>
      </c>
      <c r="FX16" s="2" t="s">
        <v>890</v>
      </c>
      <c r="FY16" s="2" t="s">
        <v>946</v>
      </c>
      <c r="FZ16" s="2" t="s">
        <v>861</v>
      </c>
      <c r="GA16" s="2" t="s">
        <v>857</v>
      </c>
      <c r="GB16" s="2" t="s">
        <v>923</v>
      </c>
      <c r="GC16" s="2" t="s">
        <v>925</v>
      </c>
      <c r="GE16" s="127"/>
    </row>
    <row r="17" spans="1:187" ht="15" customHeight="1" x14ac:dyDescent="0.25">
      <c r="A17" s="1">
        <v>13</v>
      </c>
      <c r="B17" s="1">
        <f t="shared" si="1"/>
        <v>59</v>
      </c>
      <c r="D17" s="21" t="s">
        <v>245</v>
      </c>
      <c r="E17" s="11">
        <v>14</v>
      </c>
      <c r="G17" s="21" t="s">
        <v>708</v>
      </c>
      <c r="H17" s="11">
        <v>14</v>
      </c>
      <c r="J17" s="21" t="s">
        <v>415</v>
      </c>
      <c r="K17" s="22">
        <v>1</v>
      </c>
      <c r="M17" s="21" t="s">
        <v>245</v>
      </c>
      <c r="N17" s="1">
        <v>14</v>
      </c>
      <c r="O17" s="1" t="e">
        <v>#N/A</v>
      </c>
      <c r="P17" s="1" t="s">
        <v>271</v>
      </c>
      <c r="Q17" s="1" t="s">
        <v>272</v>
      </c>
      <c r="R17" s="1" t="s">
        <v>271</v>
      </c>
      <c r="S17" s="1" t="s">
        <v>279</v>
      </c>
      <c r="T17" s="1" t="s">
        <v>270</v>
      </c>
      <c r="U17" s="1" t="s">
        <v>272</v>
      </c>
      <c r="V17" s="1" t="s">
        <v>270</v>
      </c>
      <c r="W17" s="1" t="s">
        <v>274</v>
      </c>
      <c r="X17" s="1" t="s">
        <v>275</v>
      </c>
      <c r="Y17" s="1" t="s">
        <v>278</v>
      </c>
      <c r="Z17" s="1" t="s">
        <v>274</v>
      </c>
      <c r="AA17" s="1" t="s">
        <v>270</v>
      </c>
      <c r="AB17" s="1" t="s">
        <v>278</v>
      </c>
      <c r="AC17" s="1" t="s">
        <v>272</v>
      </c>
      <c r="AD17" s="1" t="s">
        <v>270</v>
      </c>
      <c r="AE17" s="1" t="s">
        <v>270</v>
      </c>
      <c r="AF17" s="1" t="s">
        <v>272</v>
      </c>
      <c r="AG17" s="1" t="s">
        <v>275</v>
      </c>
      <c r="AH17" s="1" t="s">
        <v>279</v>
      </c>
      <c r="AI17" s="1" t="s">
        <v>271</v>
      </c>
      <c r="AJ17" s="1" t="s">
        <v>274</v>
      </c>
      <c r="AK17" s="1" t="s">
        <v>275</v>
      </c>
      <c r="AL17" s="1" t="s">
        <v>279</v>
      </c>
      <c r="AM17" s="1" t="s">
        <v>271</v>
      </c>
      <c r="AN17" s="1" t="s">
        <v>272</v>
      </c>
      <c r="AO17" s="1" t="s">
        <v>272</v>
      </c>
      <c r="AP17" s="1" t="s">
        <v>275</v>
      </c>
      <c r="AQ17" s="1" t="s">
        <v>278</v>
      </c>
      <c r="AR17" s="1" t="s">
        <v>281</v>
      </c>
      <c r="AS17" s="1" t="s">
        <v>281</v>
      </c>
      <c r="AT17" s="1" t="s">
        <v>275</v>
      </c>
      <c r="AU17" s="1" t="s">
        <v>279</v>
      </c>
      <c r="AV17" s="11" t="s">
        <v>274</v>
      </c>
      <c r="AX17" s="21" t="s">
        <v>708</v>
      </c>
      <c r="AY17">
        <v>14</v>
      </c>
      <c r="AZ17">
        <v>1</v>
      </c>
      <c r="BA17">
        <v>1</v>
      </c>
      <c r="BB17">
        <v>1</v>
      </c>
      <c r="BE17">
        <v>1</v>
      </c>
      <c r="BG17">
        <v>1</v>
      </c>
      <c r="BH17">
        <v>1</v>
      </c>
      <c r="BJ17">
        <v>4</v>
      </c>
      <c r="BK17">
        <v>3</v>
      </c>
      <c r="BR17">
        <v>17</v>
      </c>
      <c r="BS17">
        <v>5</v>
      </c>
      <c r="BT17">
        <v>3</v>
      </c>
      <c r="BV17">
        <v>7</v>
      </c>
      <c r="BX17">
        <v>1</v>
      </c>
      <c r="CC17">
        <v>1</v>
      </c>
      <c r="CE17">
        <v>2</v>
      </c>
      <c r="CF17">
        <v>2</v>
      </c>
      <c r="CG17">
        <v>2</v>
      </c>
      <c r="CI17" s="22"/>
      <c r="CK17" s="21" t="s">
        <v>330</v>
      </c>
      <c r="CL17" s="26">
        <v>30</v>
      </c>
      <c r="CM17" s="26">
        <v>3</v>
      </c>
      <c r="CN17" s="26">
        <v>2</v>
      </c>
      <c r="CO17" s="26">
        <v>-2</v>
      </c>
      <c r="CP17" s="26">
        <v>0</v>
      </c>
      <c r="CQ17" s="26">
        <v>-2</v>
      </c>
      <c r="CR17" s="26">
        <v>-2</v>
      </c>
      <c r="CS17" s="26">
        <v>1</v>
      </c>
      <c r="CT17" s="26">
        <v>0</v>
      </c>
      <c r="CU17" s="26">
        <v>-2</v>
      </c>
      <c r="CV17" s="26">
        <v>1</v>
      </c>
      <c r="CW17" s="26">
        <v>0</v>
      </c>
      <c r="CX17" s="26">
        <v>0</v>
      </c>
      <c r="CY17" s="26">
        <v>0</v>
      </c>
      <c r="CZ17" s="26">
        <v>0</v>
      </c>
      <c r="DA17" s="26">
        <v>0</v>
      </c>
      <c r="DB17" s="26">
        <v>25</v>
      </c>
      <c r="DC17" s="28">
        <v>0.5</v>
      </c>
      <c r="DD17" s="1" t="s">
        <v>354</v>
      </c>
      <c r="DE17" s="26">
        <v>-3</v>
      </c>
      <c r="DF17" s="1">
        <v>54</v>
      </c>
      <c r="DG17" s="1">
        <v>48</v>
      </c>
      <c r="DH17" s="1">
        <v>93</v>
      </c>
      <c r="DI17" s="1">
        <v>80</v>
      </c>
      <c r="DJ17" s="1">
        <v>3</v>
      </c>
      <c r="DK17" s="29" t="s">
        <v>368</v>
      </c>
      <c r="DM17" s="16">
        <v>13</v>
      </c>
      <c r="DN17" s="35">
        <v>-7.3</v>
      </c>
      <c r="DQ17" s="21" t="s">
        <v>625</v>
      </c>
      <c r="DR17" s="1">
        <v>5</v>
      </c>
      <c r="DS17" s="1">
        <v>60</v>
      </c>
      <c r="DT17" s="1" t="s">
        <v>94</v>
      </c>
      <c r="DU17" s="1" t="s">
        <v>94</v>
      </c>
      <c r="DV17" t="s">
        <v>415</v>
      </c>
      <c r="DW17" s="1">
        <v>0</v>
      </c>
      <c r="DX17" s="22" t="s">
        <v>625</v>
      </c>
      <c r="DZ17" s="21" t="s">
        <v>442</v>
      </c>
      <c r="EA17">
        <v>4</v>
      </c>
      <c r="EB17" s="56">
        <v>0.02</v>
      </c>
      <c r="EC17" s="57">
        <v>35</v>
      </c>
      <c r="ED17" s="51">
        <v>-3</v>
      </c>
      <c r="EE17" s="58">
        <v>0</v>
      </c>
      <c r="EF17" s="58">
        <v>-7</v>
      </c>
      <c r="EG17" s="771"/>
      <c r="EU17" s="21" t="s">
        <v>245</v>
      </c>
      <c r="EV17" s="2" t="s">
        <v>82</v>
      </c>
      <c r="EW17" s="2" t="s">
        <v>105</v>
      </c>
      <c r="EX17" s="2" t="s">
        <v>300</v>
      </c>
      <c r="EY17" s="2" t="s">
        <v>90</v>
      </c>
      <c r="EZ17" s="2" t="s">
        <v>91</v>
      </c>
      <c r="FA17" s="2" t="s">
        <v>302</v>
      </c>
      <c r="FB17" s="2" t="s">
        <v>53</v>
      </c>
      <c r="FC17" s="2" t="s">
        <v>132</v>
      </c>
      <c r="FD17" s="2" t="s">
        <v>158</v>
      </c>
      <c r="FE17" s="2" t="s">
        <v>167</v>
      </c>
      <c r="FF17" s="2" t="s">
        <v>175</v>
      </c>
      <c r="FG17" s="2" t="s">
        <v>180</v>
      </c>
      <c r="FH17" s="2" t="s">
        <v>60</v>
      </c>
      <c r="FI17" s="2" t="s">
        <v>204</v>
      </c>
      <c r="FJ17" s="127" t="s">
        <v>206</v>
      </c>
      <c r="FL17" s="128" t="s">
        <v>859</v>
      </c>
      <c r="FM17" s="1">
        <v>4</v>
      </c>
      <c r="FN17" s="1" t="s">
        <v>846</v>
      </c>
      <c r="FO17" s="1" t="s">
        <v>846</v>
      </c>
      <c r="FP17" s="11" t="s">
        <v>846</v>
      </c>
      <c r="FR17" s="773"/>
      <c r="FS17" s="128" t="s">
        <v>828</v>
      </c>
      <c r="FT17" s="1">
        <f>Skills!F9</f>
        <v>0</v>
      </c>
      <c r="FU17" s="2" t="s">
        <v>859</v>
      </c>
      <c r="FV17" s="2" t="s">
        <v>861</v>
      </c>
      <c r="FW17" s="2" t="s">
        <v>866</v>
      </c>
      <c r="FX17" s="2" t="s">
        <v>915</v>
      </c>
      <c r="FY17" s="2" t="s">
        <v>873</v>
      </c>
      <c r="FZ17" s="2" t="s">
        <v>890</v>
      </c>
      <c r="GA17" s="2" t="s">
        <v>946</v>
      </c>
      <c r="GB17" s="2" t="s">
        <v>945</v>
      </c>
      <c r="GC17" s="2" t="s">
        <v>880</v>
      </c>
      <c r="GE17" s="127"/>
    </row>
    <row r="18" spans="1:187" ht="15" customHeight="1" x14ac:dyDescent="0.25">
      <c r="A18" s="1">
        <v>14</v>
      </c>
      <c r="B18" s="1">
        <f t="shared" si="1"/>
        <v>62</v>
      </c>
      <c r="D18" s="21" t="s">
        <v>246</v>
      </c>
      <c r="E18" s="11">
        <v>15</v>
      </c>
      <c r="G18" s="21" t="s">
        <v>294</v>
      </c>
      <c r="H18" s="11">
        <v>15</v>
      </c>
      <c r="J18" s="21" t="s">
        <v>416</v>
      </c>
      <c r="K18" s="22">
        <v>2</v>
      </c>
      <c r="M18" s="21" t="s">
        <v>246</v>
      </c>
      <c r="N18" s="1">
        <v>15</v>
      </c>
      <c r="O18" s="1" t="e">
        <v>#N/A</v>
      </c>
      <c r="P18" s="1" t="s">
        <v>272</v>
      </c>
      <c r="Q18" s="1" t="s">
        <v>274</v>
      </c>
      <c r="R18" s="1" t="s">
        <v>278</v>
      </c>
      <c r="S18" s="1" t="s">
        <v>270</v>
      </c>
      <c r="T18" s="1" t="s">
        <v>275</v>
      </c>
      <c r="U18" s="1" t="s">
        <v>270</v>
      </c>
      <c r="V18" s="1" t="s">
        <v>270</v>
      </c>
      <c r="W18" s="1" t="s">
        <v>274</v>
      </c>
      <c r="X18" s="1" t="s">
        <v>275</v>
      </c>
      <c r="Y18" s="1" t="s">
        <v>278</v>
      </c>
      <c r="Z18" s="1" t="s">
        <v>274</v>
      </c>
      <c r="AA18" s="1" t="s">
        <v>274</v>
      </c>
      <c r="AB18" s="1" t="s">
        <v>279</v>
      </c>
      <c r="AC18" s="1" t="s">
        <v>270</v>
      </c>
      <c r="AD18" s="1" t="s">
        <v>271</v>
      </c>
      <c r="AE18" s="1" t="s">
        <v>271</v>
      </c>
      <c r="AF18" s="1" t="s">
        <v>278</v>
      </c>
      <c r="AG18" s="1" t="s">
        <v>274</v>
      </c>
      <c r="AH18" s="1" t="s">
        <v>275</v>
      </c>
      <c r="AI18" s="1" t="s">
        <v>273</v>
      </c>
      <c r="AJ18" s="1" t="s">
        <v>274</v>
      </c>
      <c r="AK18" s="1" t="s">
        <v>275</v>
      </c>
      <c r="AL18" s="1" t="s">
        <v>279</v>
      </c>
      <c r="AM18" s="1" t="s">
        <v>274</v>
      </c>
      <c r="AN18" s="1" t="s">
        <v>272</v>
      </c>
      <c r="AO18" s="1" t="s">
        <v>272</v>
      </c>
      <c r="AP18" s="1" t="s">
        <v>275</v>
      </c>
      <c r="AQ18" s="1" t="s">
        <v>278</v>
      </c>
      <c r="AR18" s="1" t="s">
        <v>281</v>
      </c>
      <c r="AS18" s="1" t="s">
        <v>281</v>
      </c>
      <c r="AT18" s="1" t="s">
        <v>272</v>
      </c>
      <c r="AU18" s="1" t="s">
        <v>275</v>
      </c>
      <c r="AV18" s="11" t="s">
        <v>274</v>
      </c>
      <c r="AX18" s="21" t="s">
        <v>294</v>
      </c>
      <c r="AY18">
        <v>15</v>
      </c>
      <c r="AZ18">
        <v>4</v>
      </c>
      <c r="BA18">
        <v>3</v>
      </c>
      <c r="BB18">
        <v>1</v>
      </c>
      <c r="BC18">
        <v>1</v>
      </c>
      <c r="BE18">
        <v>1</v>
      </c>
      <c r="BG18">
        <v>1</v>
      </c>
      <c r="BJ18">
        <v>1</v>
      </c>
      <c r="BK18">
        <v>4</v>
      </c>
      <c r="BM18">
        <v>1</v>
      </c>
      <c r="BO18">
        <v>1</v>
      </c>
      <c r="BR18">
        <v>14</v>
      </c>
      <c r="BS18">
        <v>5</v>
      </c>
      <c r="BT18">
        <v>2</v>
      </c>
      <c r="BV18">
        <v>4</v>
      </c>
      <c r="BW18">
        <v>1</v>
      </c>
      <c r="BX18">
        <v>1</v>
      </c>
      <c r="CC18">
        <v>2</v>
      </c>
      <c r="CF18">
        <v>1</v>
      </c>
      <c r="CG18">
        <v>1</v>
      </c>
      <c r="CI18" s="22"/>
      <c r="CK18" s="21" t="s">
        <v>331</v>
      </c>
      <c r="CL18" s="26">
        <v>41</v>
      </c>
      <c r="CM18" s="26">
        <v>0</v>
      </c>
      <c r="CN18" s="26">
        <v>1</v>
      </c>
      <c r="CO18" s="26">
        <v>0</v>
      </c>
      <c r="CP18" s="26">
        <v>0</v>
      </c>
      <c r="CQ18" s="26">
        <v>-1</v>
      </c>
      <c r="CR18" s="26">
        <v>0</v>
      </c>
      <c r="CS18" s="26">
        <v>0</v>
      </c>
      <c r="CT18" s="26">
        <v>-1</v>
      </c>
      <c r="CU18" s="26">
        <v>0</v>
      </c>
      <c r="CV18" s="26">
        <v>1</v>
      </c>
      <c r="CW18" s="26">
        <v>0</v>
      </c>
      <c r="CX18" s="26">
        <v>0</v>
      </c>
      <c r="CY18" s="26">
        <v>-5</v>
      </c>
      <c r="CZ18" s="26">
        <v>0</v>
      </c>
      <c r="DA18" s="26">
        <v>25</v>
      </c>
      <c r="DB18" s="26">
        <v>25</v>
      </c>
      <c r="DC18" s="28">
        <v>1</v>
      </c>
      <c r="DD18" s="1" t="s">
        <v>354</v>
      </c>
      <c r="DE18" s="26">
        <v>-2</v>
      </c>
      <c r="DF18" s="1">
        <v>63</v>
      </c>
      <c r="DG18" s="1">
        <v>57</v>
      </c>
      <c r="DH18" s="1">
        <v>159</v>
      </c>
      <c r="DI18" s="1">
        <v>135</v>
      </c>
      <c r="DJ18" s="1">
        <v>4</v>
      </c>
      <c r="DK18" s="22" t="s">
        <v>401</v>
      </c>
      <c r="DM18" s="16">
        <v>14</v>
      </c>
      <c r="DN18" s="35">
        <v>-7</v>
      </c>
      <c r="DQ18" s="21" t="s">
        <v>640</v>
      </c>
      <c r="DR18" s="1">
        <v>3</v>
      </c>
      <c r="DS18" s="1">
        <v>45</v>
      </c>
      <c r="DT18" s="1" t="s">
        <v>94</v>
      </c>
      <c r="DU18" s="1" t="s">
        <v>94</v>
      </c>
      <c r="DV18" t="s">
        <v>417</v>
      </c>
      <c r="DW18" s="1">
        <v>0</v>
      </c>
      <c r="DX18" s="22" t="s">
        <v>640</v>
      </c>
      <c r="DZ18" s="21" t="s">
        <v>443</v>
      </c>
      <c r="EA18">
        <v>5</v>
      </c>
      <c r="EB18" s="56">
        <v>0.02</v>
      </c>
      <c r="EC18" s="57">
        <v>40</v>
      </c>
      <c r="ED18" s="51">
        <v>-5</v>
      </c>
      <c r="EE18" s="58">
        <v>0</v>
      </c>
      <c r="EF18" s="58">
        <v>-9</v>
      </c>
      <c r="EG18" s="771"/>
      <c r="EU18" s="21" t="s">
        <v>246</v>
      </c>
      <c r="EV18" s="2" t="s">
        <v>86</v>
      </c>
      <c r="EW18" s="2" t="s">
        <v>96</v>
      </c>
      <c r="EX18" s="2" t="s">
        <v>97</v>
      </c>
      <c r="EY18" s="2" t="s">
        <v>98</v>
      </c>
      <c r="EZ18" s="2" t="s">
        <v>99</v>
      </c>
      <c r="FA18" s="2" t="s">
        <v>105</v>
      </c>
      <c r="FB18" s="2" t="s">
        <v>113</v>
      </c>
      <c r="FC18" s="2" t="s">
        <v>117</v>
      </c>
      <c r="FD18" s="2" t="s">
        <v>147</v>
      </c>
      <c r="FE18" s="2" t="s">
        <v>149</v>
      </c>
      <c r="FF18" s="2" t="s">
        <v>174</v>
      </c>
      <c r="FG18" s="2" t="s">
        <v>175</v>
      </c>
      <c r="FH18" s="2" t="s">
        <v>178</v>
      </c>
      <c r="FI18" s="2" t="s">
        <v>180</v>
      </c>
      <c r="FJ18" s="127" t="s">
        <v>181</v>
      </c>
      <c r="FL18" s="128" t="s">
        <v>860</v>
      </c>
      <c r="FM18" s="1">
        <v>6</v>
      </c>
      <c r="FN18" s="1"/>
      <c r="FO18" s="1" t="s">
        <v>846</v>
      </c>
      <c r="FP18" s="11"/>
      <c r="FR18" s="773"/>
      <c r="FS18" s="128" t="s">
        <v>829</v>
      </c>
      <c r="FT18" s="1">
        <f>Skills!F10</f>
        <v>0</v>
      </c>
      <c r="FU18" s="2" t="s">
        <v>854</v>
      </c>
      <c r="FV18" s="2" t="s">
        <v>857</v>
      </c>
      <c r="FW18" s="2" t="s">
        <v>878</v>
      </c>
      <c r="FX18" s="2" t="s">
        <v>881</v>
      </c>
      <c r="FY18" s="2" t="s">
        <v>890</v>
      </c>
      <c r="FZ18" s="2" t="s">
        <v>946</v>
      </c>
      <c r="GA18" s="2" t="s">
        <v>903</v>
      </c>
      <c r="GB18" s="2" t="s">
        <v>927</v>
      </c>
      <c r="GE18" s="127"/>
    </row>
    <row r="19" spans="1:187" ht="15" customHeight="1" x14ac:dyDescent="0.25">
      <c r="A19" s="1">
        <v>15</v>
      </c>
      <c r="B19" s="1">
        <f t="shared" si="1"/>
        <v>65</v>
      </c>
      <c r="D19" s="21" t="s">
        <v>247</v>
      </c>
      <c r="E19" s="11">
        <v>16</v>
      </c>
      <c r="G19" s="21" t="s">
        <v>709</v>
      </c>
      <c r="H19" s="11">
        <v>16</v>
      </c>
      <c r="J19" s="21" t="s">
        <v>417</v>
      </c>
      <c r="K19" s="22">
        <v>3</v>
      </c>
      <c r="M19" s="21" t="s">
        <v>247</v>
      </c>
      <c r="N19" s="1">
        <v>16</v>
      </c>
      <c r="O19" s="1" t="e">
        <v>#N/A</v>
      </c>
      <c r="P19" s="1" t="s">
        <v>272</v>
      </c>
      <c r="Q19" s="1" t="s">
        <v>271</v>
      </c>
      <c r="R19" s="1" t="s">
        <v>272</v>
      </c>
      <c r="S19" s="1" t="s">
        <v>275</v>
      </c>
      <c r="T19" s="1" t="s">
        <v>279</v>
      </c>
      <c r="U19" s="1" t="s">
        <v>272</v>
      </c>
      <c r="V19" s="1" t="s">
        <v>274</v>
      </c>
      <c r="W19" s="1" t="s">
        <v>272</v>
      </c>
      <c r="X19" s="1" t="s">
        <v>279</v>
      </c>
      <c r="Y19" s="1" t="s">
        <v>277</v>
      </c>
      <c r="Z19" s="1" t="s">
        <v>274</v>
      </c>
      <c r="AA19" s="1" t="s">
        <v>274</v>
      </c>
      <c r="AB19" s="1" t="s">
        <v>278</v>
      </c>
      <c r="AC19" s="1" t="s">
        <v>284</v>
      </c>
      <c r="AD19" s="1" t="s">
        <v>270</v>
      </c>
      <c r="AE19" s="1" t="s">
        <v>270</v>
      </c>
      <c r="AF19" s="1" t="s">
        <v>279</v>
      </c>
      <c r="AG19" s="1" t="s">
        <v>272</v>
      </c>
      <c r="AH19" s="1" t="s">
        <v>272</v>
      </c>
      <c r="AI19" s="1" t="s">
        <v>271</v>
      </c>
      <c r="AJ19" s="1" t="s">
        <v>274</v>
      </c>
      <c r="AK19" s="1" t="s">
        <v>272</v>
      </c>
      <c r="AL19" s="1" t="s">
        <v>279</v>
      </c>
      <c r="AM19" s="1" t="s">
        <v>271</v>
      </c>
      <c r="AN19" s="1" t="s">
        <v>274</v>
      </c>
      <c r="AO19" s="1" t="s">
        <v>274</v>
      </c>
      <c r="AP19" s="1" t="s">
        <v>272</v>
      </c>
      <c r="AQ19" s="1" t="s">
        <v>279</v>
      </c>
      <c r="AR19" s="1" t="s">
        <v>286</v>
      </c>
      <c r="AS19" s="1" t="s">
        <v>281</v>
      </c>
      <c r="AT19" s="1" t="s">
        <v>271</v>
      </c>
      <c r="AU19" s="1" t="s">
        <v>275</v>
      </c>
      <c r="AV19" s="11" t="s">
        <v>274</v>
      </c>
      <c r="AX19" s="21" t="s">
        <v>709</v>
      </c>
      <c r="AY19">
        <v>16</v>
      </c>
      <c r="AZ19">
        <v>2</v>
      </c>
      <c r="BB19">
        <v>2</v>
      </c>
      <c r="BE19">
        <v>2</v>
      </c>
      <c r="BG19">
        <v>1</v>
      </c>
      <c r="BH19">
        <v>2</v>
      </c>
      <c r="BJ19">
        <v>1</v>
      </c>
      <c r="BK19">
        <v>4</v>
      </c>
      <c r="BM19">
        <v>1</v>
      </c>
      <c r="BO19">
        <v>2</v>
      </c>
      <c r="BR19">
        <v>12</v>
      </c>
      <c r="BS19">
        <v>5</v>
      </c>
      <c r="BV19">
        <v>4</v>
      </c>
      <c r="BX19">
        <v>1</v>
      </c>
      <c r="CA19">
        <v>1</v>
      </c>
      <c r="CD19">
        <v>2</v>
      </c>
      <c r="CF19">
        <v>1</v>
      </c>
      <c r="CI19" s="22">
        <v>2</v>
      </c>
      <c r="CK19" s="21" t="s">
        <v>332</v>
      </c>
      <c r="CL19" s="26">
        <v>50</v>
      </c>
      <c r="CM19" s="26">
        <v>0</v>
      </c>
      <c r="CN19" s="26">
        <v>0</v>
      </c>
      <c r="CO19" s="26">
        <v>0</v>
      </c>
      <c r="CP19" s="26">
        <v>0</v>
      </c>
      <c r="CQ19" s="26">
        <v>0</v>
      </c>
      <c r="CR19" s="26">
        <v>0</v>
      </c>
      <c r="CS19" s="26">
        <v>0</v>
      </c>
      <c r="CT19" s="26">
        <v>0</v>
      </c>
      <c r="CU19" s="26">
        <v>0</v>
      </c>
      <c r="CV19" s="26">
        <v>0</v>
      </c>
      <c r="CW19" s="26">
        <v>0</v>
      </c>
      <c r="CX19" s="26">
        <v>0</v>
      </c>
      <c r="CY19" s="26">
        <v>0</v>
      </c>
      <c r="CZ19" s="26">
        <v>0</v>
      </c>
      <c r="DA19" s="26">
        <v>0</v>
      </c>
      <c r="DB19" s="26">
        <v>25</v>
      </c>
      <c r="DC19" s="28">
        <v>1</v>
      </c>
      <c r="DD19" s="1" t="s">
        <v>354</v>
      </c>
      <c r="DE19" s="26">
        <v>0</v>
      </c>
      <c r="DF19" s="1">
        <v>70</v>
      </c>
      <c r="DG19" s="1">
        <v>65</v>
      </c>
      <c r="DH19" s="1">
        <v>185</v>
      </c>
      <c r="DI19" s="1">
        <v>154</v>
      </c>
      <c r="DJ19" s="1">
        <v>5</v>
      </c>
      <c r="DK19" s="22" t="s">
        <v>401</v>
      </c>
      <c r="DM19" s="16">
        <v>15</v>
      </c>
      <c r="DN19" s="35">
        <v>-6.7</v>
      </c>
      <c r="DQ19" s="21" t="s">
        <v>631</v>
      </c>
      <c r="DR19" s="1">
        <v>10</v>
      </c>
      <c r="DS19" s="1">
        <v>65</v>
      </c>
      <c r="DT19" s="1" t="s">
        <v>94</v>
      </c>
      <c r="DU19" s="1" t="s">
        <v>94</v>
      </c>
      <c r="DV19" t="s">
        <v>416</v>
      </c>
      <c r="DW19" s="1">
        <v>0</v>
      </c>
      <c r="DX19" s="22" t="s">
        <v>631</v>
      </c>
      <c r="DZ19" s="21" t="s">
        <v>410</v>
      </c>
      <c r="EA19">
        <v>6</v>
      </c>
      <c r="EB19" s="56">
        <v>0.02</v>
      </c>
      <c r="EC19" s="57">
        <v>45</v>
      </c>
      <c r="ED19" s="51">
        <v>-6</v>
      </c>
      <c r="EE19" s="58">
        <v>0</v>
      </c>
      <c r="EF19" s="58">
        <v>-10</v>
      </c>
      <c r="EG19" s="771"/>
      <c r="EU19" s="21" t="s">
        <v>247</v>
      </c>
      <c r="EV19" s="2" t="s">
        <v>86</v>
      </c>
      <c r="EW19" s="2" t="s">
        <v>302</v>
      </c>
      <c r="EX19" s="2" t="s">
        <v>303</v>
      </c>
      <c r="EY19" s="2" t="s">
        <v>147</v>
      </c>
      <c r="EZ19" s="2" t="s">
        <v>148</v>
      </c>
      <c r="FA19" s="2" t="s">
        <v>149</v>
      </c>
      <c r="FB19" s="2" t="s">
        <v>171</v>
      </c>
      <c r="FC19" s="2" t="s">
        <v>175</v>
      </c>
      <c r="FD19" s="2" t="s">
        <v>178</v>
      </c>
      <c r="FE19" s="2" t="s">
        <v>180</v>
      </c>
      <c r="FF19" s="2" t="s">
        <v>181</v>
      </c>
      <c r="FG19" s="2" t="s">
        <v>213</v>
      </c>
      <c r="FH19" s="2" t="s">
        <v>214</v>
      </c>
      <c r="FI19" s="2" t="s">
        <v>215</v>
      </c>
      <c r="FJ19" s="127" t="s">
        <v>216</v>
      </c>
      <c r="FL19" s="128" t="s">
        <v>861</v>
      </c>
      <c r="FM19" s="1">
        <v>2</v>
      </c>
      <c r="FN19" s="1"/>
      <c r="FO19" s="1" t="s">
        <v>846</v>
      </c>
      <c r="FP19" s="11"/>
      <c r="FR19" s="773"/>
      <c r="FS19" s="128" t="s">
        <v>830</v>
      </c>
      <c r="FT19" s="1">
        <f>Skills!F11</f>
        <v>0</v>
      </c>
      <c r="FU19" s="2" t="s">
        <v>890</v>
      </c>
      <c r="FV19" s="2" t="s">
        <v>873</v>
      </c>
      <c r="FW19" s="2" t="s">
        <v>874</v>
      </c>
      <c r="FX19" s="2" t="s">
        <v>880</v>
      </c>
      <c r="FY19" s="2" t="s">
        <v>866</v>
      </c>
      <c r="FZ19" s="2" t="s">
        <v>929</v>
      </c>
      <c r="GE19" s="127"/>
    </row>
    <row r="20" spans="1:187" ht="15" customHeight="1" x14ac:dyDescent="0.25">
      <c r="A20" s="1">
        <v>16</v>
      </c>
      <c r="B20" s="1">
        <f t="shared" si="1"/>
        <v>68</v>
      </c>
      <c r="D20" s="21" t="s">
        <v>248</v>
      </c>
      <c r="E20" s="11">
        <v>17</v>
      </c>
      <c r="G20" s="21" t="s">
        <v>710</v>
      </c>
      <c r="H20" s="11">
        <v>17</v>
      </c>
      <c r="J20" s="21" t="s">
        <v>418</v>
      </c>
      <c r="K20" s="22">
        <v>4</v>
      </c>
      <c r="M20" s="21" t="s">
        <v>248</v>
      </c>
      <c r="N20" s="1">
        <v>17</v>
      </c>
      <c r="O20" s="1" t="e">
        <v>#N/A</v>
      </c>
      <c r="P20" s="1" t="s">
        <v>272</v>
      </c>
      <c r="Q20" s="1" t="s">
        <v>270</v>
      </c>
      <c r="R20" s="1" t="s">
        <v>275</v>
      </c>
      <c r="S20" s="1" t="s">
        <v>278</v>
      </c>
      <c r="T20" s="1" t="s">
        <v>279</v>
      </c>
      <c r="U20" s="1" t="s">
        <v>275</v>
      </c>
      <c r="V20" s="1" t="s">
        <v>272</v>
      </c>
      <c r="W20" s="1" t="s">
        <v>275</v>
      </c>
      <c r="X20" s="1" t="s">
        <v>278</v>
      </c>
      <c r="Y20" s="1" t="s">
        <v>282</v>
      </c>
      <c r="Z20" s="1" t="s">
        <v>273</v>
      </c>
      <c r="AA20" s="1" t="s">
        <v>270</v>
      </c>
      <c r="AB20" s="1" t="s">
        <v>272</v>
      </c>
      <c r="AC20" s="1" t="s">
        <v>272</v>
      </c>
      <c r="AD20" s="1" t="s">
        <v>272</v>
      </c>
      <c r="AE20" s="1" t="s">
        <v>276</v>
      </c>
      <c r="AF20" s="1" t="s">
        <v>275</v>
      </c>
      <c r="AG20" s="1" t="s">
        <v>272</v>
      </c>
      <c r="AH20" s="1" t="s">
        <v>279</v>
      </c>
      <c r="AI20" s="1" t="s">
        <v>272</v>
      </c>
      <c r="AJ20" s="1" t="s">
        <v>273</v>
      </c>
      <c r="AK20" s="1" t="s">
        <v>272</v>
      </c>
      <c r="AL20" s="1" t="s">
        <v>272</v>
      </c>
      <c r="AM20" s="1" t="s">
        <v>271</v>
      </c>
      <c r="AN20" s="1" t="s">
        <v>270</v>
      </c>
      <c r="AO20" s="1" t="s">
        <v>270</v>
      </c>
      <c r="AP20" s="1" t="s">
        <v>274</v>
      </c>
      <c r="AQ20" s="1" t="s">
        <v>275</v>
      </c>
      <c r="AR20" s="1" t="s">
        <v>282</v>
      </c>
      <c r="AS20" s="1" t="s">
        <v>286</v>
      </c>
      <c r="AT20" s="1" t="s">
        <v>275</v>
      </c>
      <c r="AU20" s="1" t="s">
        <v>275</v>
      </c>
      <c r="AV20" s="11" t="s">
        <v>274</v>
      </c>
      <c r="AX20" s="21" t="s">
        <v>710</v>
      </c>
      <c r="AY20">
        <v>17</v>
      </c>
      <c r="AZ20">
        <v>1</v>
      </c>
      <c r="BA20">
        <v>2</v>
      </c>
      <c r="BB20">
        <v>1</v>
      </c>
      <c r="BD20">
        <v>1</v>
      </c>
      <c r="BE20">
        <v>2</v>
      </c>
      <c r="BF20">
        <v>1</v>
      </c>
      <c r="BG20">
        <v>1</v>
      </c>
      <c r="BH20">
        <v>2</v>
      </c>
      <c r="BJ20">
        <v>1</v>
      </c>
      <c r="BK20">
        <v>3</v>
      </c>
      <c r="BO20">
        <v>1</v>
      </c>
      <c r="BQ20">
        <v>1</v>
      </c>
      <c r="BR20">
        <v>13</v>
      </c>
      <c r="BS20">
        <v>5</v>
      </c>
      <c r="BT20">
        <v>1</v>
      </c>
      <c r="BV20">
        <v>4</v>
      </c>
      <c r="BX20">
        <v>1</v>
      </c>
      <c r="CA20">
        <v>1</v>
      </c>
      <c r="CC20">
        <v>2</v>
      </c>
      <c r="CF20">
        <v>1</v>
      </c>
      <c r="CI20" s="22"/>
      <c r="CK20" s="21" t="s">
        <v>333</v>
      </c>
      <c r="CL20" s="26">
        <v>21</v>
      </c>
      <c r="CM20" s="26">
        <v>-2</v>
      </c>
      <c r="CN20" s="26">
        <v>3</v>
      </c>
      <c r="CO20" s="26">
        <v>0</v>
      </c>
      <c r="CP20" s="26">
        <v>0</v>
      </c>
      <c r="CQ20" s="26">
        <v>0</v>
      </c>
      <c r="CR20" s="26">
        <v>3</v>
      </c>
      <c r="CS20" s="26">
        <v>-1</v>
      </c>
      <c r="CT20" s="26">
        <v>1</v>
      </c>
      <c r="CU20" s="26">
        <v>0</v>
      </c>
      <c r="CV20" s="26">
        <v>3</v>
      </c>
      <c r="CW20" s="26">
        <v>5</v>
      </c>
      <c r="CX20" s="26">
        <v>-5</v>
      </c>
      <c r="CY20" s="26">
        <v>-5</v>
      </c>
      <c r="CZ20" s="26">
        <v>0</v>
      </c>
      <c r="DA20" s="26">
        <v>0</v>
      </c>
      <c r="DB20" s="26">
        <v>30</v>
      </c>
      <c r="DC20" s="28">
        <v>1</v>
      </c>
      <c r="DD20" s="1" t="s">
        <v>354</v>
      </c>
      <c r="DE20" s="26">
        <v>2</v>
      </c>
      <c r="DF20" s="1">
        <v>77</v>
      </c>
      <c r="DG20" s="1">
        <v>70</v>
      </c>
      <c r="DH20" s="1">
        <v>250</v>
      </c>
      <c r="DI20" s="1">
        <v>190</v>
      </c>
      <c r="DJ20" s="1">
        <v>5</v>
      </c>
      <c r="DK20" s="22" t="s">
        <v>401</v>
      </c>
      <c r="DM20" s="16">
        <v>16</v>
      </c>
      <c r="DN20" s="35">
        <v>-6.3</v>
      </c>
      <c r="DQ20" s="21" t="s">
        <v>657</v>
      </c>
      <c r="DR20" s="1">
        <v>4</v>
      </c>
      <c r="DS20" s="1">
        <v>60</v>
      </c>
      <c r="DT20" s="1" t="s">
        <v>94</v>
      </c>
      <c r="DU20" s="1" t="s">
        <v>94</v>
      </c>
      <c r="DV20" t="s">
        <v>53</v>
      </c>
      <c r="DW20" s="1">
        <v>0</v>
      </c>
      <c r="DX20" s="22" t="s">
        <v>53</v>
      </c>
      <c r="DZ20" s="21" t="s">
        <v>444</v>
      </c>
      <c r="EA20">
        <v>7</v>
      </c>
      <c r="EB20" s="56">
        <v>0.03</v>
      </c>
      <c r="EC20" s="57">
        <v>50</v>
      </c>
      <c r="ED20" s="51">
        <v>-7</v>
      </c>
      <c r="EE20" s="58">
        <v>0</v>
      </c>
      <c r="EF20" s="58">
        <v>-12</v>
      </c>
      <c r="EG20" s="771"/>
      <c r="EU20" s="21" t="s">
        <v>248</v>
      </c>
      <c r="EV20" s="2" t="s">
        <v>123</v>
      </c>
      <c r="EW20" s="2" t="s">
        <v>139</v>
      </c>
      <c r="EX20" s="2" t="s">
        <v>154</v>
      </c>
      <c r="EY20" s="2" t="s">
        <v>161</v>
      </c>
      <c r="EZ20" s="2" t="s">
        <v>156</v>
      </c>
      <c r="FA20" s="2" t="s">
        <v>157</v>
      </c>
      <c r="FB20" s="2" t="s">
        <v>158</v>
      </c>
      <c r="FC20" s="2" t="s">
        <v>159</v>
      </c>
      <c r="FD20" s="2" t="s">
        <v>166</v>
      </c>
      <c r="FE20" s="2" t="s">
        <v>180</v>
      </c>
      <c r="FF20" s="2" t="s">
        <v>184</v>
      </c>
      <c r="FG20" s="2" t="s">
        <v>185</v>
      </c>
      <c r="FH20" s="2" t="s">
        <v>204</v>
      </c>
      <c r="FI20" s="2" t="s">
        <v>207</v>
      </c>
      <c r="FJ20" s="127" t="s">
        <v>208</v>
      </c>
      <c r="FL20" s="128" t="s">
        <v>862</v>
      </c>
      <c r="FM20" s="1">
        <v>5</v>
      </c>
      <c r="FN20" s="1" t="s">
        <v>846</v>
      </c>
      <c r="FO20" s="1" t="s">
        <v>846</v>
      </c>
      <c r="FP20" s="11"/>
      <c r="FR20" s="773" t="s">
        <v>949</v>
      </c>
      <c r="FS20" s="128" t="s">
        <v>833</v>
      </c>
      <c r="FT20" s="1">
        <f>Skills!J4</f>
        <v>0</v>
      </c>
      <c r="FU20" s="2" t="s">
        <v>880</v>
      </c>
      <c r="FV20" s="2" t="s">
        <v>885</v>
      </c>
      <c r="FW20" s="2" t="s">
        <v>888</v>
      </c>
      <c r="FX20" s="2" t="s">
        <v>890</v>
      </c>
      <c r="FY20" s="2" t="s">
        <v>902</v>
      </c>
      <c r="GE20" s="127"/>
    </row>
    <row r="21" spans="1:187" ht="15" customHeight="1" x14ac:dyDescent="0.25">
      <c r="A21" s="1">
        <v>17</v>
      </c>
      <c r="B21" s="1">
        <f t="shared" si="1"/>
        <v>71</v>
      </c>
      <c r="D21" s="21" t="s">
        <v>249</v>
      </c>
      <c r="E21" s="11">
        <v>18</v>
      </c>
      <c r="G21" s="21" t="s">
        <v>295</v>
      </c>
      <c r="H21" s="11">
        <v>18</v>
      </c>
      <c r="J21" s="21" t="s">
        <v>419</v>
      </c>
      <c r="K21" s="22">
        <v>5</v>
      </c>
      <c r="M21" s="21" t="s">
        <v>249</v>
      </c>
      <c r="N21" s="1">
        <v>18</v>
      </c>
      <c r="O21" s="1" t="e">
        <v>#N/A</v>
      </c>
      <c r="P21" s="1" t="s">
        <v>275</v>
      </c>
      <c r="Q21" s="1" t="s">
        <v>273</v>
      </c>
      <c r="R21" s="1" t="s">
        <v>279</v>
      </c>
      <c r="S21" s="1" t="s">
        <v>278</v>
      </c>
      <c r="T21" s="1" t="s">
        <v>279</v>
      </c>
      <c r="U21" s="1" t="s">
        <v>275</v>
      </c>
      <c r="V21" s="1" t="s">
        <v>272</v>
      </c>
      <c r="W21" s="1" t="s">
        <v>275</v>
      </c>
      <c r="X21" s="1" t="s">
        <v>278</v>
      </c>
      <c r="Y21" s="1" t="s">
        <v>282</v>
      </c>
      <c r="Z21" s="1" t="s">
        <v>270</v>
      </c>
      <c r="AA21" s="1" t="s">
        <v>274</v>
      </c>
      <c r="AB21" s="1" t="s">
        <v>271</v>
      </c>
      <c r="AC21" s="1" t="s">
        <v>272</v>
      </c>
      <c r="AD21" s="1" t="s">
        <v>272</v>
      </c>
      <c r="AE21" s="1" t="s">
        <v>271</v>
      </c>
      <c r="AF21" s="1" t="s">
        <v>272</v>
      </c>
      <c r="AG21" s="1" t="s">
        <v>272</v>
      </c>
      <c r="AH21" s="1" t="s">
        <v>279</v>
      </c>
      <c r="AI21" s="1" t="s">
        <v>274</v>
      </c>
      <c r="AJ21" s="1" t="s">
        <v>270</v>
      </c>
      <c r="AK21" s="1" t="s">
        <v>272</v>
      </c>
      <c r="AL21" s="1" t="s">
        <v>279</v>
      </c>
      <c r="AM21" s="1" t="s">
        <v>271</v>
      </c>
      <c r="AN21" s="1" t="s">
        <v>274</v>
      </c>
      <c r="AO21" s="1" t="s">
        <v>274</v>
      </c>
      <c r="AP21" s="1" t="s">
        <v>272</v>
      </c>
      <c r="AQ21" s="1" t="s">
        <v>279</v>
      </c>
      <c r="AR21" s="1" t="s">
        <v>286</v>
      </c>
      <c r="AS21" s="1" t="s">
        <v>281</v>
      </c>
      <c r="AT21" s="1" t="s">
        <v>270</v>
      </c>
      <c r="AU21" s="1" t="s">
        <v>271</v>
      </c>
      <c r="AV21" s="11" t="s">
        <v>274</v>
      </c>
      <c r="AX21" s="21" t="s">
        <v>295</v>
      </c>
      <c r="AY21">
        <v>18</v>
      </c>
      <c r="AZ21">
        <v>1</v>
      </c>
      <c r="BA21">
        <v>1</v>
      </c>
      <c r="BB21">
        <v>1</v>
      </c>
      <c r="BC21">
        <v>1</v>
      </c>
      <c r="BD21">
        <v>2</v>
      </c>
      <c r="BE21">
        <v>2</v>
      </c>
      <c r="BG21">
        <v>2</v>
      </c>
      <c r="BH21">
        <v>1</v>
      </c>
      <c r="BI21">
        <v>1</v>
      </c>
      <c r="BK21">
        <v>3</v>
      </c>
      <c r="BO21">
        <v>1</v>
      </c>
      <c r="BQ21">
        <v>1</v>
      </c>
      <c r="BR21">
        <v>11</v>
      </c>
      <c r="BS21">
        <v>5</v>
      </c>
      <c r="BT21">
        <v>1</v>
      </c>
      <c r="BV21">
        <v>3</v>
      </c>
      <c r="BX21">
        <v>1</v>
      </c>
      <c r="CA21">
        <v>1</v>
      </c>
      <c r="CC21">
        <v>2</v>
      </c>
      <c r="CI21" s="22">
        <v>1</v>
      </c>
      <c r="CK21" s="21" t="s">
        <v>334</v>
      </c>
      <c r="CL21" s="26">
        <v>34</v>
      </c>
      <c r="CM21" s="26">
        <v>0</v>
      </c>
      <c r="CN21" s="26">
        <v>1</v>
      </c>
      <c r="CO21" s="26">
        <v>0</v>
      </c>
      <c r="CP21" s="26">
        <v>0</v>
      </c>
      <c r="CQ21" s="26">
        <v>0</v>
      </c>
      <c r="CR21" s="26">
        <v>1</v>
      </c>
      <c r="CS21" s="26">
        <v>0</v>
      </c>
      <c r="CT21" s="26">
        <v>0</v>
      </c>
      <c r="CU21" s="26">
        <v>0</v>
      </c>
      <c r="CV21" s="26">
        <v>1</v>
      </c>
      <c r="CW21" s="26">
        <v>0</v>
      </c>
      <c r="CX21" s="26">
        <v>0</v>
      </c>
      <c r="CY21" s="26">
        <v>0</v>
      </c>
      <c r="CZ21" s="26">
        <v>0</v>
      </c>
      <c r="DA21" s="26">
        <v>0</v>
      </c>
      <c r="DB21" s="26">
        <v>30</v>
      </c>
      <c r="DC21" s="28">
        <v>1</v>
      </c>
      <c r="DD21" s="1" t="s">
        <v>354</v>
      </c>
      <c r="DE21" s="26">
        <v>1</v>
      </c>
      <c r="DF21" s="1">
        <v>76</v>
      </c>
      <c r="DG21" s="1">
        <v>69</v>
      </c>
      <c r="DH21" s="1">
        <v>230</v>
      </c>
      <c r="DI21" s="1">
        <v>180</v>
      </c>
      <c r="DJ21" s="1">
        <v>5</v>
      </c>
      <c r="DK21" s="22" t="s">
        <v>401</v>
      </c>
      <c r="DM21" s="16">
        <v>17</v>
      </c>
      <c r="DN21" s="35">
        <v>-6</v>
      </c>
      <c r="DQ21" s="21" t="s">
        <v>650</v>
      </c>
      <c r="DR21" s="1">
        <v>7</v>
      </c>
      <c r="DS21" s="1">
        <v>55</v>
      </c>
      <c r="DT21" s="1" t="s">
        <v>94</v>
      </c>
      <c r="DU21" s="1" t="s">
        <v>94</v>
      </c>
      <c r="DV21" t="s">
        <v>421</v>
      </c>
      <c r="DW21" s="1">
        <v>1</v>
      </c>
      <c r="DX21" s="22" t="s">
        <v>622</v>
      </c>
      <c r="DZ21" s="21" t="s">
        <v>445</v>
      </c>
      <c r="EA21">
        <v>8</v>
      </c>
      <c r="EB21" s="56">
        <v>0.03</v>
      </c>
      <c r="EC21" s="57">
        <v>55</v>
      </c>
      <c r="ED21" s="51">
        <v>-8</v>
      </c>
      <c r="EE21" s="58">
        <v>0</v>
      </c>
      <c r="EF21" s="58">
        <v>-12</v>
      </c>
      <c r="EG21" s="771"/>
      <c r="EU21" s="21" t="s">
        <v>249</v>
      </c>
      <c r="EV21" s="2" t="s">
        <v>86</v>
      </c>
      <c r="EW21" s="2" t="s">
        <v>132</v>
      </c>
      <c r="EX21" s="2" t="s">
        <v>139</v>
      </c>
      <c r="EY21" s="2" t="s">
        <v>159</v>
      </c>
      <c r="EZ21" s="2" t="s">
        <v>178</v>
      </c>
      <c r="FA21" s="2" t="s">
        <v>180</v>
      </c>
      <c r="FB21" s="2" t="s">
        <v>198</v>
      </c>
      <c r="FC21" s="2" t="s">
        <v>200</v>
      </c>
      <c r="FD21" s="2" t="s">
        <v>204</v>
      </c>
      <c r="FE21" s="2" t="s">
        <v>208</v>
      </c>
      <c r="FF21" s="2" t="s">
        <v>214</v>
      </c>
      <c r="FG21" s="2" t="s">
        <v>215</v>
      </c>
      <c r="FH21" s="2" t="s">
        <v>219</v>
      </c>
      <c r="FI21" s="2" t="s">
        <v>220</v>
      </c>
      <c r="FJ21" s="127" t="s">
        <v>221</v>
      </c>
      <c r="FL21" s="128" t="s">
        <v>863</v>
      </c>
      <c r="FM21" s="1">
        <v>4</v>
      </c>
      <c r="FN21" s="1" t="s">
        <v>846</v>
      </c>
      <c r="FO21" s="1"/>
      <c r="FP21" s="11"/>
      <c r="FR21" s="773"/>
      <c r="FS21" s="128" t="s">
        <v>834</v>
      </c>
      <c r="FT21" s="1">
        <f>Skills!J5</f>
        <v>0</v>
      </c>
      <c r="FU21" s="2" t="s">
        <v>868</v>
      </c>
      <c r="FV21" s="2" t="s">
        <v>871</v>
      </c>
      <c r="FW21" s="2" t="s">
        <v>874</v>
      </c>
      <c r="FX21" s="2" t="s">
        <v>888</v>
      </c>
      <c r="FY21" s="2" t="s">
        <v>935</v>
      </c>
      <c r="FZ21" s="2" t="s">
        <v>890</v>
      </c>
      <c r="GA21" s="2" t="s">
        <v>946</v>
      </c>
      <c r="GB21" s="2" t="s">
        <v>930</v>
      </c>
      <c r="GE21" s="127"/>
    </row>
    <row r="22" spans="1:187" ht="15" customHeight="1" x14ac:dyDescent="0.25">
      <c r="A22" s="1">
        <v>18</v>
      </c>
      <c r="B22" s="1">
        <f t="shared" si="1"/>
        <v>74</v>
      </c>
      <c r="D22" s="21" t="s">
        <v>250</v>
      </c>
      <c r="E22" s="11">
        <v>19</v>
      </c>
      <c r="G22" s="21" t="s">
        <v>711</v>
      </c>
      <c r="H22" s="11">
        <v>19</v>
      </c>
      <c r="J22" s="21" t="s">
        <v>420</v>
      </c>
      <c r="K22" s="22">
        <v>6</v>
      </c>
      <c r="M22" s="21" t="s">
        <v>250</v>
      </c>
      <c r="N22" s="1">
        <v>19</v>
      </c>
      <c r="O22" s="1" t="e">
        <v>#N/A</v>
      </c>
      <c r="P22" s="1" t="s">
        <v>274</v>
      </c>
      <c r="Q22" s="1" t="s">
        <v>275</v>
      </c>
      <c r="R22" s="1" t="s">
        <v>279</v>
      </c>
      <c r="S22" s="1" t="s">
        <v>278</v>
      </c>
      <c r="T22" s="1" t="s">
        <v>279</v>
      </c>
      <c r="U22" s="1" t="s">
        <v>277</v>
      </c>
      <c r="V22" s="1" t="s">
        <v>279</v>
      </c>
      <c r="W22" s="1" t="s">
        <v>278</v>
      </c>
      <c r="X22" s="1" t="s">
        <v>282</v>
      </c>
      <c r="Y22" s="1" t="s">
        <v>281</v>
      </c>
      <c r="Z22" s="1" t="s">
        <v>274</v>
      </c>
      <c r="AA22" s="1" t="s">
        <v>274</v>
      </c>
      <c r="AB22" s="1" t="s">
        <v>274</v>
      </c>
      <c r="AC22" s="1" t="s">
        <v>272</v>
      </c>
      <c r="AD22" s="1" t="s">
        <v>275</v>
      </c>
      <c r="AE22" s="1" t="s">
        <v>271</v>
      </c>
      <c r="AF22" s="1" t="s">
        <v>271</v>
      </c>
      <c r="AG22" s="1" t="s">
        <v>270</v>
      </c>
      <c r="AH22" s="1" t="s">
        <v>274</v>
      </c>
      <c r="AI22" s="1" t="s">
        <v>272</v>
      </c>
      <c r="AJ22" s="1" t="s">
        <v>271</v>
      </c>
      <c r="AK22" s="1" t="s">
        <v>270</v>
      </c>
      <c r="AL22" s="1" t="s">
        <v>274</v>
      </c>
      <c r="AM22" s="1" t="s">
        <v>273</v>
      </c>
      <c r="AN22" s="1" t="s">
        <v>280</v>
      </c>
      <c r="AO22" s="1" t="s">
        <v>280</v>
      </c>
      <c r="AP22" s="1" t="s">
        <v>273</v>
      </c>
      <c r="AQ22" s="1" t="s">
        <v>270</v>
      </c>
      <c r="AR22" s="1" t="s">
        <v>279</v>
      </c>
      <c r="AS22" s="1" t="s">
        <v>278</v>
      </c>
      <c r="AT22" s="1" t="s">
        <v>278</v>
      </c>
      <c r="AU22" s="1" t="s">
        <v>279</v>
      </c>
      <c r="AV22" s="11" t="s">
        <v>274</v>
      </c>
      <c r="AX22" s="21" t="s">
        <v>711</v>
      </c>
      <c r="AY22">
        <v>19</v>
      </c>
      <c r="AZ22">
        <v>1</v>
      </c>
      <c r="BA22">
        <v>2</v>
      </c>
      <c r="BB22">
        <v>1</v>
      </c>
      <c r="BE22">
        <v>1</v>
      </c>
      <c r="BG22">
        <v>1</v>
      </c>
      <c r="BJ22">
        <v>2</v>
      </c>
      <c r="BK22">
        <v>5</v>
      </c>
      <c r="BO22">
        <v>1</v>
      </c>
      <c r="BR22">
        <v>16</v>
      </c>
      <c r="BS22">
        <v>5</v>
      </c>
      <c r="BU22">
        <v>1</v>
      </c>
      <c r="BV22">
        <v>7</v>
      </c>
      <c r="BW22">
        <v>1</v>
      </c>
      <c r="BX22">
        <v>1</v>
      </c>
      <c r="BY22">
        <v>1</v>
      </c>
      <c r="BZ22">
        <v>1</v>
      </c>
      <c r="CA22">
        <v>1</v>
      </c>
      <c r="CC22">
        <v>1</v>
      </c>
      <c r="CF22">
        <v>1</v>
      </c>
      <c r="CI22" s="22">
        <v>1</v>
      </c>
      <c r="CK22" s="21" t="s">
        <v>335</v>
      </c>
      <c r="CL22" s="26">
        <v>27</v>
      </c>
      <c r="CM22" s="26">
        <v>-1</v>
      </c>
      <c r="CN22" s="26">
        <v>1</v>
      </c>
      <c r="CO22" s="26">
        <v>-2</v>
      </c>
      <c r="CP22" s="26">
        <v>0</v>
      </c>
      <c r="CQ22" s="26">
        <v>0</v>
      </c>
      <c r="CR22" s="26">
        <v>-2</v>
      </c>
      <c r="CS22" s="26">
        <v>0</v>
      </c>
      <c r="CT22" s="26">
        <v>-1</v>
      </c>
      <c r="CU22" s="26">
        <v>-4</v>
      </c>
      <c r="CV22" s="26">
        <v>2</v>
      </c>
      <c r="CW22" s="26">
        <v>0</v>
      </c>
      <c r="CX22" s="26">
        <v>0</v>
      </c>
      <c r="CY22" s="26">
        <v>0</v>
      </c>
      <c r="CZ22" s="26">
        <v>10</v>
      </c>
      <c r="DA22" s="26">
        <v>15</v>
      </c>
      <c r="DB22" s="26">
        <v>35</v>
      </c>
      <c r="DC22" s="28">
        <v>1</v>
      </c>
      <c r="DD22" s="1" t="s">
        <v>362</v>
      </c>
      <c r="DE22" s="26">
        <v>3</v>
      </c>
      <c r="DF22" s="1">
        <v>90</v>
      </c>
      <c r="DG22" s="1">
        <v>80</v>
      </c>
      <c r="DH22" s="1">
        <v>400</v>
      </c>
      <c r="DI22" s="1">
        <v>330</v>
      </c>
      <c r="DJ22" s="1">
        <v>6</v>
      </c>
      <c r="DK22" s="29" t="s">
        <v>369</v>
      </c>
      <c r="DM22" s="16">
        <v>18</v>
      </c>
      <c r="DN22" s="35">
        <f>ROUND(DN$27-5/6,1)</f>
        <v>-5.8</v>
      </c>
      <c r="DQ22" s="21" t="s">
        <v>629</v>
      </c>
      <c r="DR22" s="1">
        <v>6</v>
      </c>
      <c r="DS22" s="1">
        <v>80</v>
      </c>
      <c r="DT22" s="1" t="s">
        <v>94</v>
      </c>
      <c r="DU22" s="1" t="s">
        <v>94</v>
      </c>
      <c r="DV22" t="s">
        <v>418</v>
      </c>
      <c r="DW22" s="1">
        <v>1</v>
      </c>
      <c r="DX22" s="22" t="s">
        <v>625</v>
      </c>
      <c r="DZ22" s="21" t="s">
        <v>446</v>
      </c>
      <c r="EA22">
        <v>9</v>
      </c>
      <c r="EB22" s="56">
        <v>0.03</v>
      </c>
      <c r="EC22" s="57">
        <v>70</v>
      </c>
      <c r="ED22" s="51">
        <v>-9</v>
      </c>
      <c r="EE22" s="58">
        <v>0</v>
      </c>
      <c r="EF22" s="58">
        <v>-15</v>
      </c>
      <c r="EG22" s="771"/>
      <c r="EU22" s="21" t="s">
        <v>250</v>
      </c>
      <c r="EV22" s="2" t="s">
        <v>139</v>
      </c>
      <c r="EW22" s="2" t="s">
        <v>158</v>
      </c>
      <c r="EX22" s="2" t="s">
        <v>159</v>
      </c>
      <c r="EY22" s="2" t="s">
        <v>165</v>
      </c>
      <c r="EZ22" s="2" t="s">
        <v>170</v>
      </c>
      <c r="FA22" s="2" t="s">
        <v>174</v>
      </c>
      <c r="FB22" s="2" t="s">
        <v>60</v>
      </c>
      <c r="FC22" s="2" t="s">
        <v>191</v>
      </c>
      <c r="FD22" s="2" t="s">
        <v>199</v>
      </c>
      <c r="FE22" s="2" t="s">
        <v>204</v>
      </c>
      <c r="FF22" s="2" t="s">
        <v>206</v>
      </c>
      <c r="FG22" s="2" t="s">
        <v>266</v>
      </c>
      <c r="FH22" s="2" t="s">
        <v>265</v>
      </c>
      <c r="FI22" s="2" t="s">
        <v>267</v>
      </c>
      <c r="FJ22" s="127" t="s">
        <v>264</v>
      </c>
      <c r="FL22" s="128" t="s">
        <v>864</v>
      </c>
      <c r="FM22" s="1">
        <v>4</v>
      </c>
      <c r="FN22" s="1" t="s">
        <v>846</v>
      </c>
      <c r="FO22" s="1"/>
      <c r="FP22" s="11"/>
      <c r="FR22" s="773"/>
      <c r="FS22" s="128" t="s">
        <v>835</v>
      </c>
      <c r="FT22" s="1">
        <f>Skills!J6</f>
        <v>0</v>
      </c>
      <c r="FU22" s="2" t="s">
        <v>873</v>
      </c>
      <c r="FV22" s="2" t="s">
        <v>875</v>
      </c>
      <c r="FW22" s="2" t="s">
        <v>880</v>
      </c>
      <c r="FX22" s="2" t="s">
        <v>886</v>
      </c>
      <c r="FY22" s="2" t="s">
        <v>899</v>
      </c>
      <c r="FZ22" s="2" t="s">
        <v>913</v>
      </c>
      <c r="GA22" s="2" t="s">
        <v>930</v>
      </c>
      <c r="GE22" s="127"/>
    </row>
    <row r="23" spans="1:187" ht="15" customHeight="1" thickBot="1" x14ac:dyDescent="0.3">
      <c r="A23" s="1">
        <v>19</v>
      </c>
      <c r="B23" s="1">
        <f t="shared" si="1"/>
        <v>77</v>
      </c>
      <c r="D23" s="21" t="s">
        <v>251</v>
      </c>
      <c r="E23" s="11">
        <v>20</v>
      </c>
      <c r="G23" s="21" t="s">
        <v>296</v>
      </c>
      <c r="H23" s="11">
        <v>20</v>
      </c>
      <c r="J23" s="21" t="s">
        <v>421</v>
      </c>
      <c r="K23" s="22">
        <v>7</v>
      </c>
      <c r="M23" s="21" t="s">
        <v>251</v>
      </c>
      <c r="N23" s="1">
        <v>20</v>
      </c>
      <c r="O23" s="1" t="e">
        <v>#N/A</v>
      </c>
      <c r="P23" s="1" t="s">
        <v>276</v>
      </c>
      <c r="Q23" s="1" t="s">
        <v>274</v>
      </c>
      <c r="R23" s="1" t="s">
        <v>277</v>
      </c>
      <c r="S23" s="1" t="s">
        <v>278</v>
      </c>
      <c r="T23" s="1" t="s">
        <v>279</v>
      </c>
      <c r="U23" s="1" t="s">
        <v>277</v>
      </c>
      <c r="V23" s="1" t="s">
        <v>279</v>
      </c>
      <c r="W23" s="1" t="s">
        <v>278</v>
      </c>
      <c r="X23" s="1" t="s">
        <v>282</v>
      </c>
      <c r="Y23" s="1" t="s">
        <v>281</v>
      </c>
      <c r="Z23" s="1" t="s">
        <v>274</v>
      </c>
      <c r="AA23" s="1" t="s">
        <v>274</v>
      </c>
      <c r="AB23" s="1" t="s">
        <v>275</v>
      </c>
      <c r="AC23" s="1" t="s">
        <v>273</v>
      </c>
      <c r="AD23" s="1" t="s">
        <v>275</v>
      </c>
      <c r="AE23" s="1" t="s">
        <v>271</v>
      </c>
      <c r="AF23" s="1" t="s">
        <v>274</v>
      </c>
      <c r="AG23" s="1" t="s">
        <v>270</v>
      </c>
      <c r="AH23" s="1" t="s">
        <v>274</v>
      </c>
      <c r="AI23" s="1" t="s">
        <v>272</v>
      </c>
      <c r="AJ23" s="1" t="s">
        <v>274</v>
      </c>
      <c r="AK23" s="1" t="s">
        <v>270</v>
      </c>
      <c r="AL23" s="1" t="s">
        <v>272</v>
      </c>
      <c r="AM23" s="1" t="s">
        <v>274</v>
      </c>
      <c r="AN23" s="1" t="s">
        <v>276</v>
      </c>
      <c r="AO23" s="1" t="s">
        <v>276</v>
      </c>
      <c r="AP23" s="1" t="s">
        <v>273</v>
      </c>
      <c r="AQ23" s="1" t="s">
        <v>270</v>
      </c>
      <c r="AR23" s="1" t="s">
        <v>279</v>
      </c>
      <c r="AS23" s="1" t="s">
        <v>278</v>
      </c>
      <c r="AT23" s="1" t="s">
        <v>275</v>
      </c>
      <c r="AU23" s="1" t="s">
        <v>279</v>
      </c>
      <c r="AV23" s="11" t="s">
        <v>274</v>
      </c>
      <c r="AX23" s="21" t="s">
        <v>296</v>
      </c>
      <c r="AY23">
        <v>20</v>
      </c>
      <c r="AZ23">
        <v>3</v>
      </c>
      <c r="BA23">
        <v>2</v>
      </c>
      <c r="BB23">
        <v>1</v>
      </c>
      <c r="BE23">
        <v>1</v>
      </c>
      <c r="BF23">
        <v>1</v>
      </c>
      <c r="BG23">
        <v>1</v>
      </c>
      <c r="BI23">
        <v>1</v>
      </c>
      <c r="BJ23">
        <v>1</v>
      </c>
      <c r="BK23">
        <v>4</v>
      </c>
      <c r="BN23">
        <v>1</v>
      </c>
      <c r="BR23">
        <v>13</v>
      </c>
      <c r="BS23">
        <v>5</v>
      </c>
      <c r="BV23">
        <v>5</v>
      </c>
      <c r="BW23">
        <v>1</v>
      </c>
      <c r="BX23">
        <v>1</v>
      </c>
      <c r="CA23">
        <v>1</v>
      </c>
      <c r="CC23">
        <v>1</v>
      </c>
      <c r="CD23">
        <v>1</v>
      </c>
      <c r="CE23">
        <v>1</v>
      </c>
      <c r="CF23">
        <v>1</v>
      </c>
      <c r="CG23">
        <v>1</v>
      </c>
      <c r="CI23" s="22"/>
      <c r="CK23" s="21" t="s">
        <v>336</v>
      </c>
      <c r="CL23" s="26">
        <v>10</v>
      </c>
      <c r="CM23" s="26">
        <v>4</v>
      </c>
      <c r="CN23" s="26">
        <v>0</v>
      </c>
      <c r="CO23" s="26">
        <v>-4</v>
      </c>
      <c r="CP23" s="26">
        <v>0</v>
      </c>
      <c r="CQ23" s="26">
        <v>0</v>
      </c>
      <c r="CR23" s="26">
        <v>-1</v>
      </c>
      <c r="CS23" s="26">
        <v>4</v>
      </c>
      <c r="CT23" s="26">
        <v>0</v>
      </c>
      <c r="CU23" s="26">
        <v>-2</v>
      </c>
      <c r="CV23" s="26">
        <v>2</v>
      </c>
      <c r="CW23" s="26">
        <v>0</v>
      </c>
      <c r="CX23" s="26">
        <v>0</v>
      </c>
      <c r="CY23" s="26">
        <v>0</v>
      </c>
      <c r="CZ23" s="26">
        <v>5</v>
      </c>
      <c r="DA23" s="26">
        <v>10</v>
      </c>
      <c r="DB23" s="26">
        <v>25</v>
      </c>
      <c r="DC23" s="28">
        <v>1</v>
      </c>
      <c r="DD23" s="1" t="s">
        <v>354</v>
      </c>
      <c r="DE23" s="26">
        <v>0</v>
      </c>
      <c r="DF23" s="1">
        <v>72</v>
      </c>
      <c r="DG23" s="1">
        <v>65</v>
      </c>
      <c r="DH23" s="1">
        <v>180</v>
      </c>
      <c r="DI23" s="1">
        <v>145</v>
      </c>
      <c r="DJ23" s="1">
        <v>4</v>
      </c>
      <c r="DK23" s="29" t="s">
        <v>370</v>
      </c>
      <c r="DM23" s="16">
        <v>19</v>
      </c>
      <c r="DN23" s="35">
        <f>ROUND(DN$27-4/6,1)</f>
        <v>-5.7</v>
      </c>
      <c r="DQ23" s="21" t="s">
        <v>644</v>
      </c>
      <c r="DR23" s="1">
        <v>6</v>
      </c>
      <c r="DS23" s="1">
        <v>80</v>
      </c>
      <c r="DT23" s="1" t="s">
        <v>94</v>
      </c>
      <c r="DU23" s="1" t="s">
        <v>94</v>
      </c>
      <c r="DV23" t="s">
        <v>420</v>
      </c>
      <c r="DW23" s="1">
        <v>1</v>
      </c>
      <c r="DX23" s="22" t="s">
        <v>638</v>
      </c>
      <c r="DZ23" s="23" t="s">
        <v>447</v>
      </c>
      <c r="EA23" s="45">
        <v>10</v>
      </c>
      <c r="EB23" s="59">
        <v>0.03</v>
      </c>
      <c r="EC23" s="60">
        <v>75</v>
      </c>
      <c r="ED23" s="61">
        <v>-10</v>
      </c>
      <c r="EE23" s="62">
        <v>0</v>
      </c>
      <c r="EF23" s="62">
        <v>-15</v>
      </c>
      <c r="EG23" s="772"/>
      <c r="EU23" s="21" t="s">
        <v>251</v>
      </c>
      <c r="EV23" s="2" t="s">
        <v>81</v>
      </c>
      <c r="EW23" s="2" t="s">
        <v>86</v>
      </c>
      <c r="EX23" s="2" t="s">
        <v>87</v>
      </c>
      <c r="EY23" s="2" t="s">
        <v>134</v>
      </c>
      <c r="EZ23" s="2" t="s">
        <v>142</v>
      </c>
      <c r="FA23" s="2" t="s">
        <v>144</v>
      </c>
      <c r="FB23" s="2" t="s">
        <v>153</v>
      </c>
      <c r="FC23" s="2" t="s">
        <v>157</v>
      </c>
      <c r="FD23" s="2" t="s">
        <v>165</v>
      </c>
      <c r="FE23" s="2" t="s">
        <v>169</v>
      </c>
      <c r="FF23" s="2" t="s">
        <v>191</v>
      </c>
      <c r="FG23" s="2" t="s">
        <v>265</v>
      </c>
      <c r="FH23" s="2" t="s">
        <v>267</v>
      </c>
      <c r="FI23" s="2" t="s">
        <v>264</v>
      </c>
      <c r="FJ23" s="127" t="s">
        <v>214</v>
      </c>
      <c r="FL23" s="128" t="s">
        <v>865</v>
      </c>
      <c r="FM23" s="1">
        <v>6</v>
      </c>
      <c r="FN23" s="1"/>
      <c r="FO23" s="1" t="s">
        <v>846</v>
      </c>
      <c r="FP23" s="11"/>
      <c r="FR23" s="773"/>
      <c r="FS23" s="128" t="s">
        <v>836</v>
      </c>
      <c r="FT23" s="1">
        <f>Skills!J7</f>
        <v>0</v>
      </c>
      <c r="FU23" s="2" t="s">
        <v>858</v>
      </c>
      <c r="FV23" s="2" t="s">
        <v>867</v>
      </c>
      <c r="FW23" s="2" t="s">
        <v>870</v>
      </c>
      <c r="FX23" s="2" t="s">
        <v>872</v>
      </c>
      <c r="FY23" s="2" t="s">
        <v>883</v>
      </c>
      <c r="FZ23" s="2" t="s">
        <v>888</v>
      </c>
      <c r="GA23" s="2" t="s">
        <v>913</v>
      </c>
      <c r="GB23" s="2" t="s">
        <v>930</v>
      </c>
      <c r="GC23" s="2" t="s">
        <v>939</v>
      </c>
      <c r="GE23" s="127"/>
    </row>
    <row r="24" spans="1:187" ht="15" customHeight="1" thickBot="1" x14ac:dyDescent="0.3">
      <c r="A24" s="1">
        <v>20</v>
      </c>
      <c r="B24" s="1">
        <f t="shared" si="1"/>
        <v>80</v>
      </c>
      <c r="D24" s="21" t="s">
        <v>252</v>
      </c>
      <c r="E24" s="11">
        <v>21</v>
      </c>
      <c r="G24" s="21" t="s">
        <v>712</v>
      </c>
      <c r="H24" s="11">
        <v>21</v>
      </c>
      <c r="J24" s="23" t="s">
        <v>422</v>
      </c>
      <c r="K24" s="37">
        <v>8</v>
      </c>
      <c r="M24" s="21" t="s">
        <v>252</v>
      </c>
      <c r="N24" s="1">
        <v>21</v>
      </c>
      <c r="O24" s="1" t="e">
        <v>#N/A</v>
      </c>
      <c r="P24" s="1" t="s">
        <v>272</v>
      </c>
      <c r="Q24" s="1" t="s">
        <v>275</v>
      </c>
      <c r="R24" s="1" t="s">
        <v>277</v>
      </c>
      <c r="S24" s="1" t="s">
        <v>278</v>
      </c>
      <c r="T24" s="1" t="s">
        <v>278</v>
      </c>
      <c r="U24" s="1" t="s">
        <v>277</v>
      </c>
      <c r="V24" s="1" t="s">
        <v>279</v>
      </c>
      <c r="W24" s="1" t="s">
        <v>278</v>
      </c>
      <c r="X24" s="1" t="s">
        <v>282</v>
      </c>
      <c r="Y24" s="1" t="s">
        <v>281</v>
      </c>
      <c r="Z24" s="1" t="s">
        <v>270</v>
      </c>
      <c r="AA24" s="1" t="s">
        <v>274</v>
      </c>
      <c r="AB24" s="1" t="s">
        <v>276</v>
      </c>
      <c r="AC24" s="1" t="s">
        <v>275</v>
      </c>
      <c r="AD24" s="1" t="s">
        <v>275</v>
      </c>
      <c r="AE24" s="1" t="s">
        <v>273</v>
      </c>
      <c r="AF24" s="1" t="s">
        <v>276</v>
      </c>
      <c r="AG24" s="1" t="s">
        <v>274</v>
      </c>
      <c r="AH24" s="1" t="s">
        <v>270</v>
      </c>
      <c r="AI24" s="1" t="s">
        <v>275</v>
      </c>
      <c r="AJ24" s="1" t="s">
        <v>270</v>
      </c>
      <c r="AK24" s="1" t="s">
        <v>271</v>
      </c>
      <c r="AL24" s="1" t="s">
        <v>270</v>
      </c>
      <c r="AM24" s="1" t="s">
        <v>274</v>
      </c>
      <c r="AN24" s="1" t="s">
        <v>276</v>
      </c>
      <c r="AO24" s="1" t="s">
        <v>276</v>
      </c>
      <c r="AP24" s="1" t="s">
        <v>273</v>
      </c>
      <c r="AQ24" s="1" t="s">
        <v>270</v>
      </c>
      <c r="AR24" s="1" t="s">
        <v>279</v>
      </c>
      <c r="AS24" s="1" t="s">
        <v>278</v>
      </c>
      <c r="AT24" s="1" t="s">
        <v>278</v>
      </c>
      <c r="AU24" s="1" t="s">
        <v>279</v>
      </c>
      <c r="AV24" s="11" t="s">
        <v>274</v>
      </c>
      <c r="AX24" s="21" t="s">
        <v>712</v>
      </c>
      <c r="AY24">
        <v>21</v>
      </c>
      <c r="AZ24">
        <v>1</v>
      </c>
      <c r="BB24">
        <v>1</v>
      </c>
      <c r="BE24">
        <v>1</v>
      </c>
      <c r="BG24">
        <v>1</v>
      </c>
      <c r="BJ24">
        <v>3</v>
      </c>
      <c r="BK24">
        <v>4</v>
      </c>
      <c r="BL24">
        <v>1</v>
      </c>
      <c r="BR24">
        <v>17</v>
      </c>
      <c r="BS24">
        <v>5</v>
      </c>
      <c r="BU24">
        <v>3</v>
      </c>
      <c r="BV24">
        <v>7</v>
      </c>
      <c r="BX24">
        <v>1</v>
      </c>
      <c r="BZ24">
        <v>2</v>
      </c>
      <c r="CC24">
        <v>1</v>
      </c>
      <c r="CE24">
        <v>2</v>
      </c>
      <c r="CF24">
        <v>2</v>
      </c>
      <c r="CI24" s="22"/>
      <c r="CK24" s="21" t="s">
        <v>337</v>
      </c>
      <c r="CL24" s="26">
        <v>75</v>
      </c>
      <c r="CM24" s="26">
        <v>5</v>
      </c>
      <c r="CN24" s="26">
        <v>1</v>
      </c>
      <c r="CO24" s="26">
        <v>-3</v>
      </c>
      <c r="CP24" s="26">
        <v>-1</v>
      </c>
      <c r="CQ24" s="26">
        <v>0</v>
      </c>
      <c r="CR24" s="26">
        <v>-3</v>
      </c>
      <c r="CS24" s="26">
        <v>4</v>
      </c>
      <c r="CT24" s="26">
        <v>0</v>
      </c>
      <c r="CU24" s="26">
        <v>-3</v>
      </c>
      <c r="CV24" s="26">
        <v>-1</v>
      </c>
      <c r="CW24" s="26">
        <v>0</v>
      </c>
      <c r="CX24" s="26">
        <v>0</v>
      </c>
      <c r="CY24" s="26">
        <v>0</v>
      </c>
      <c r="CZ24" s="26">
        <v>0</v>
      </c>
      <c r="DA24" s="26">
        <v>10</v>
      </c>
      <c r="DB24" s="26">
        <v>20</v>
      </c>
      <c r="DC24" s="28">
        <v>0.5</v>
      </c>
      <c r="DD24" s="1" t="s">
        <v>360</v>
      </c>
      <c r="DE24" s="26">
        <v>-5</v>
      </c>
      <c r="DF24" s="1">
        <v>42</v>
      </c>
      <c r="DG24" s="1">
        <v>39</v>
      </c>
      <c r="DH24" s="1">
        <v>44</v>
      </c>
      <c r="DI24" s="1">
        <v>40</v>
      </c>
      <c r="DJ24" s="1">
        <v>1</v>
      </c>
      <c r="DK24" s="29" t="s">
        <v>371</v>
      </c>
      <c r="DM24" s="16">
        <v>20</v>
      </c>
      <c r="DN24" s="35">
        <f>ROUND(DN$27-3/6,1)</f>
        <v>-5.5</v>
      </c>
      <c r="DQ24" s="21" t="s">
        <v>651</v>
      </c>
      <c r="DR24" s="1">
        <v>7</v>
      </c>
      <c r="DS24" s="1">
        <v>55</v>
      </c>
      <c r="DT24" s="1" t="s">
        <v>94</v>
      </c>
      <c r="DU24" s="1" t="s">
        <v>94</v>
      </c>
      <c r="DV24" t="s">
        <v>421</v>
      </c>
      <c r="DW24" s="1">
        <v>1</v>
      </c>
      <c r="DX24" s="22" t="s">
        <v>688</v>
      </c>
      <c r="DZ24" s="18" t="s">
        <v>401</v>
      </c>
      <c r="EA24" s="19">
        <v>1</v>
      </c>
      <c r="EB24" s="53">
        <v>0</v>
      </c>
      <c r="EC24" s="54">
        <v>0</v>
      </c>
      <c r="ED24" s="55">
        <v>0</v>
      </c>
      <c r="EE24" s="55">
        <v>0</v>
      </c>
      <c r="EF24" s="55">
        <v>0</v>
      </c>
      <c r="EG24" s="770" t="s">
        <v>450</v>
      </c>
      <c r="EU24" s="21" t="s">
        <v>252</v>
      </c>
      <c r="EV24" s="2" t="s">
        <v>139</v>
      </c>
      <c r="EW24" s="2" t="s">
        <v>140</v>
      </c>
      <c r="EX24" s="2" t="s">
        <v>159</v>
      </c>
      <c r="EY24" s="2" t="s">
        <v>165</v>
      </c>
      <c r="EZ24" s="2" t="s">
        <v>790</v>
      </c>
      <c r="FA24" s="2" t="s">
        <v>191</v>
      </c>
      <c r="FB24" s="2" t="s">
        <v>192</v>
      </c>
      <c r="FC24" s="2" t="s">
        <v>198</v>
      </c>
      <c r="FD24" s="2" t="s">
        <v>199</v>
      </c>
      <c r="FE24" s="2" t="s">
        <v>200</v>
      </c>
      <c r="FF24" s="2" t="s">
        <v>201</v>
      </c>
      <c r="FG24" s="2" t="s">
        <v>266</v>
      </c>
      <c r="FH24" s="2" t="s">
        <v>265</v>
      </c>
      <c r="FI24" s="2" t="s">
        <v>267</v>
      </c>
      <c r="FJ24" s="127" t="s">
        <v>264</v>
      </c>
      <c r="FL24" s="128" t="s">
        <v>866</v>
      </c>
      <c r="FM24" s="1">
        <v>6</v>
      </c>
      <c r="FN24" s="1"/>
      <c r="FO24" s="1" t="s">
        <v>846</v>
      </c>
      <c r="FP24" s="11" t="s">
        <v>846</v>
      </c>
      <c r="FR24" s="773"/>
      <c r="FS24" s="128" t="s">
        <v>837</v>
      </c>
      <c r="FT24" s="1">
        <f>Skills!J8</f>
        <v>0</v>
      </c>
      <c r="FU24" s="2" t="s">
        <v>867</v>
      </c>
      <c r="FV24" s="2" t="s">
        <v>868</v>
      </c>
      <c r="FW24" s="2" t="s">
        <v>872</v>
      </c>
      <c r="FX24" s="2" t="s">
        <v>875</v>
      </c>
      <c r="FY24" s="2" t="s">
        <v>930</v>
      </c>
      <c r="FZ24" s="2" t="s">
        <v>888</v>
      </c>
      <c r="GA24" s="2" t="s">
        <v>948</v>
      </c>
      <c r="GB24" s="2" t="s">
        <v>899</v>
      </c>
      <c r="GE24" s="127"/>
    </row>
    <row r="25" spans="1:187" ht="15" customHeight="1" thickBot="1" x14ac:dyDescent="0.3">
      <c r="A25" s="1">
        <v>21</v>
      </c>
      <c r="B25" s="1">
        <f>2*(A25-20)+80</f>
        <v>82</v>
      </c>
      <c r="D25" s="21" t="s">
        <v>253</v>
      </c>
      <c r="E25" s="11">
        <v>22</v>
      </c>
      <c r="G25" s="21" t="s">
        <v>714</v>
      </c>
      <c r="H25" s="11">
        <v>22</v>
      </c>
      <c r="M25" s="21" t="s">
        <v>253</v>
      </c>
      <c r="N25" s="1">
        <v>22</v>
      </c>
      <c r="O25" s="1" t="e">
        <v>#N/A</v>
      </c>
      <c r="P25" s="1" t="s">
        <v>275</v>
      </c>
      <c r="Q25" s="1" t="s">
        <v>270</v>
      </c>
      <c r="R25" s="1" t="s">
        <v>277</v>
      </c>
      <c r="S25" s="1" t="s">
        <v>278</v>
      </c>
      <c r="T25" s="1" t="s">
        <v>278</v>
      </c>
      <c r="U25" s="1" t="s">
        <v>277</v>
      </c>
      <c r="V25" s="1" t="s">
        <v>278</v>
      </c>
      <c r="W25" s="1" t="s">
        <v>277</v>
      </c>
      <c r="X25" s="1" t="s">
        <v>283</v>
      </c>
      <c r="Y25" s="1" t="s">
        <v>281</v>
      </c>
      <c r="Z25" s="1" t="s">
        <v>273</v>
      </c>
      <c r="AA25" s="1" t="s">
        <v>274</v>
      </c>
      <c r="AB25" s="1" t="s">
        <v>276</v>
      </c>
      <c r="AC25" s="1" t="s">
        <v>275</v>
      </c>
      <c r="AD25" s="1" t="s">
        <v>275</v>
      </c>
      <c r="AE25" s="1" t="s">
        <v>273</v>
      </c>
      <c r="AF25" s="1" t="s">
        <v>276</v>
      </c>
      <c r="AG25" s="1" t="s">
        <v>275</v>
      </c>
      <c r="AH25" s="1" t="s">
        <v>272</v>
      </c>
      <c r="AI25" s="1" t="s">
        <v>275</v>
      </c>
      <c r="AJ25" s="1" t="s">
        <v>273</v>
      </c>
      <c r="AK25" s="1" t="s">
        <v>271</v>
      </c>
      <c r="AL25" s="1" t="s">
        <v>274</v>
      </c>
      <c r="AM25" s="1" t="s">
        <v>274</v>
      </c>
      <c r="AN25" s="1" t="s">
        <v>276</v>
      </c>
      <c r="AO25" s="1" t="s">
        <v>276</v>
      </c>
      <c r="AP25" s="1" t="s">
        <v>273</v>
      </c>
      <c r="AQ25" s="1" t="s">
        <v>270</v>
      </c>
      <c r="AR25" s="1" t="s">
        <v>279</v>
      </c>
      <c r="AS25" s="1" t="s">
        <v>278</v>
      </c>
      <c r="AT25" s="1" t="s">
        <v>275</v>
      </c>
      <c r="AU25" s="1" t="s">
        <v>279</v>
      </c>
      <c r="AV25" s="11" t="s">
        <v>274</v>
      </c>
      <c r="AX25" s="21" t="s">
        <v>714</v>
      </c>
      <c r="AY25">
        <v>22</v>
      </c>
      <c r="BB25">
        <v>2</v>
      </c>
      <c r="BE25">
        <v>2</v>
      </c>
      <c r="BF25">
        <v>1</v>
      </c>
      <c r="BG25">
        <v>2</v>
      </c>
      <c r="BH25">
        <v>1</v>
      </c>
      <c r="BI25">
        <v>1</v>
      </c>
      <c r="BK25">
        <v>4</v>
      </c>
      <c r="BM25">
        <v>1</v>
      </c>
      <c r="BN25">
        <v>1</v>
      </c>
      <c r="BO25">
        <v>1</v>
      </c>
      <c r="BQ25">
        <v>1</v>
      </c>
      <c r="BR25">
        <v>12</v>
      </c>
      <c r="BS25">
        <v>5</v>
      </c>
      <c r="BV25">
        <v>4</v>
      </c>
      <c r="BX25">
        <v>1</v>
      </c>
      <c r="CA25">
        <v>1</v>
      </c>
      <c r="CC25">
        <v>1</v>
      </c>
      <c r="CI25" s="22">
        <v>1</v>
      </c>
      <c r="CK25" s="21" t="s">
        <v>338</v>
      </c>
      <c r="CL25" s="26">
        <v>26</v>
      </c>
      <c r="CM25" s="26">
        <v>0</v>
      </c>
      <c r="CN25" s="26">
        <v>0</v>
      </c>
      <c r="CO25" s="26">
        <v>2</v>
      </c>
      <c r="CP25" s="26">
        <v>2</v>
      </c>
      <c r="CQ25" s="26">
        <v>2</v>
      </c>
      <c r="CR25" s="26">
        <v>2</v>
      </c>
      <c r="CS25" s="26">
        <v>2</v>
      </c>
      <c r="CT25" s="26">
        <v>0</v>
      </c>
      <c r="CU25" s="26">
        <v>-4</v>
      </c>
      <c r="CV25" s="26">
        <v>-2</v>
      </c>
      <c r="CW25" s="26">
        <v>0</v>
      </c>
      <c r="CX25" s="26">
        <v>0</v>
      </c>
      <c r="CY25" s="26">
        <v>0</v>
      </c>
      <c r="CZ25" s="26">
        <v>0</v>
      </c>
      <c r="DA25" s="26">
        <v>0</v>
      </c>
      <c r="DB25" s="26">
        <v>20</v>
      </c>
      <c r="DC25" s="28">
        <v>1</v>
      </c>
      <c r="DD25" s="1" t="s">
        <v>354</v>
      </c>
      <c r="DE25" s="26">
        <v>-3</v>
      </c>
      <c r="DF25" s="1">
        <v>52</v>
      </c>
      <c r="DG25" s="1">
        <v>52</v>
      </c>
      <c r="DH25" s="1">
        <v>85</v>
      </c>
      <c r="DI25" s="1">
        <v>85</v>
      </c>
      <c r="DJ25" s="1">
        <v>2</v>
      </c>
      <c r="DK25" s="29" t="s">
        <v>372</v>
      </c>
      <c r="DM25" s="16">
        <v>21</v>
      </c>
      <c r="DN25" s="35">
        <f>ROUND(DN$27-2/6,1)</f>
        <v>-5.3</v>
      </c>
      <c r="DQ25" s="21" t="s">
        <v>633</v>
      </c>
      <c r="DR25" s="1">
        <v>3</v>
      </c>
      <c r="DS25" s="1">
        <v>55</v>
      </c>
      <c r="DT25" s="1" t="s">
        <v>94</v>
      </c>
      <c r="DU25" s="1" t="s">
        <v>649</v>
      </c>
      <c r="DV25" t="s">
        <v>417</v>
      </c>
      <c r="DW25" s="1">
        <v>-1</v>
      </c>
      <c r="DX25" s="22" t="s">
        <v>634</v>
      </c>
      <c r="DZ25" s="21" t="s">
        <v>440</v>
      </c>
      <c r="EA25">
        <v>2</v>
      </c>
      <c r="EB25" s="56">
        <v>0.01</v>
      </c>
      <c r="EC25" s="57">
        <v>30</v>
      </c>
      <c r="ED25" s="51">
        <v>-2</v>
      </c>
      <c r="EE25" s="58">
        <v>-5</v>
      </c>
      <c r="EF25" s="58">
        <v>0</v>
      </c>
      <c r="EG25" s="771"/>
      <c r="EU25" s="21" t="s">
        <v>253</v>
      </c>
      <c r="EV25" s="2" t="s">
        <v>86</v>
      </c>
      <c r="EW25" s="2" t="s">
        <v>122</v>
      </c>
      <c r="EX25" s="2" t="s">
        <v>129</v>
      </c>
      <c r="EY25" s="2" t="s">
        <v>139</v>
      </c>
      <c r="EZ25" s="2" t="s">
        <v>159</v>
      </c>
      <c r="FA25" s="2" t="s">
        <v>165</v>
      </c>
      <c r="FB25" s="2" t="s">
        <v>166</v>
      </c>
      <c r="FC25" s="2" t="s">
        <v>184</v>
      </c>
      <c r="FD25" s="2" t="s">
        <v>185</v>
      </c>
      <c r="FE25" s="2" t="s">
        <v>186</v>
      </c>
      <c r="FF25" s="2" t="s">
        <v>191</v>
      </c>
      <c r="FG25" s="2" t="s">
        <v>265</v>
      </c>
      <c r="FH25" s="2" t="s">
        <v>267</v>
      </c>
      <c r="FI25" s="2" t="s">
        <v>264</v>
      </c>
      <c r="FJ25" s="127" t="s">
        <v>216</v>
      </c>
      <c r="FL25" s="128" t="s">
        <v>867</v>
      </c>
      <c r="FM25" s="1">
        <v>4</v>
      </c>
      <c r="FN25" s="1" t="s">
        <v>846</v>
      </c>
      <c r="FO25" s="1"/>
      <c r="FP25" s="11" t="s">
        <v>846</v>
      </c>
      <c r="FR25" s="773"/>
      <c r="FS25" s="128" t="s">
        <v>838</v>
      </c>
      <c r="FT25" s="1">
        <f>Skills!J9</f>
        <v>0</v>
      </c>
      <c r="FU25" s="2" t="s">
        <v>854</v>
      </c>
      <c r="FV25" s="2" t="s">
        <v>873</v>
      </c>
      <c r="FW25" s="2" t="s">
        <v>874</v>
      </c>
      <c r="FX25" s="2" t="s">
        <v>935</v>
      </c>
      <c r="FY25" s="2" t="s">
        <v>878</v>
      </c>
      <c r="FZ25" s="2" t="s">
        <v>926</v>
      </c>
      <c r="GA25" s="2" t="s">
        <v>866</v>
      </c>
      <c r="GB25" s="2" t="s">
        <v>914</v>
      </c>
      <c r="GC25" s="2" t="s">
        <v>930</v>
      </c>
      <c r="GE25" s="127"/>
    </row>
    <row r="26" spans="1:187" ht="15" customHeight="1" x14ac:dyDescent="0.25">
      <c r="A26" s="1">
        <v>22</v>
      </c>
      <c r="B26" s="1">
        <f t="shared" ref="B26:B34" si="2">2*(A26-20)+80</f>
        <v>84</v>
      </c>
      <c r="D26" s="21" t="s">
        <v>254</v>
      </c>
      <c r="E26" s="11">
        <v>23</v>
      </c>
      <c r="G26" s="21" t="s">
        <v>713</v>
      </c>
      <c r="H26" s="11">
        <v>23</v>
      </c>
      <c r="J26" s="18" t="s">
        <v>303</v>
      </c>
      <c r="K26" s="20"/>
      <c r="M26" s="21" t="s">
        <v>254</v>
      </c>
      <c r="N26" s="1">
        <v>23</v>
      </c>
      <c r="O26" s="1" t="e">
        <v>#N/A</v>
      </c>
      <c r="P26" s="1" t="s">
        <v>275</v>
      </c>
      <c r="Q26" s="1" t="s">
        <v>272</v>
      </c>
      <c r="R26" s="1" t="s">
        <v>277</v>
      </c>
      <c r="S26" s="1" t="s">
        <v>275</v>
      </c>
      <c r="T26" s="1" t="s">
        <v>278</v>
      </c>
      <c r="U26" s="1" t="s">
        <v>277</v>
      </c>
      <c r="V26" s="1" t="s">
        <v>279</v>
      </c>
      <c r="W26" s="1" t="s">
        <v>278</v>
      </c>
      <c r="X26" s="1" t="s">
        <v>282</v>
      </c>
      <c r="Y26" s="1" t="s">
        <v>281</v>
      </c>
      <c r="Z26" s="1" t="s">
        <v>274</v>
      </c>
      <c r="AA26" s="1" t="s">
        <v>274</v>
      </c>
      <c r="AB26" s="1" t="s">
        <v>270</v>
      </c>
      <c r="AC26" s="1" t="s">
        <v>275</v>
      </c>
      <c r="AD26" s="1" t="s">
        <v>275</v>
      </c>
      <c r="AE26" s="1" t="s">
        <v>271</v>
      </c>
      <c r="AF26" s="1" t="s">
        <v>273</v>
      </c>
      <c r="AG26" s="1" t="s">
        <v>272</v>
      </c>
      <c r="AH26" s="1" t="s">
        <v>276</v>
      </c>
      <c r="AI26" s="1" t="s">
        <v>275</v>
      </c>
      <c r="AJ26" s="1" t="s">
        <v>274</v>
      </c>
      <c r="AK26" s="1" t="s">
        <v>271</v>
      </c>
      <c r="AL26" s="1" t="s">
        <v>274</v>
      </c>
      <c r="AM26" s="1" t="s">
        <v>273</v>
      </c>
      <c r="AN26" s="1" t="s">
        <v>276</v>
      </c>
      <c r="AO26" s="1" t="s">
        <v>276</v>
      </c>
      <c r="AP26" s="1" t="s">
        <v>273</v>
      </c>
      <c r="AQ26" s="1" t="s">
        <v>270</v>
      </c>
      <c r="AR26" s="1" t="s">
        <v>279</v>
      </c>
      <c r="AS26" s="1" t="s">
        <v>278</v>
      </c>
      <c r="AT26" s="1" t="s">
        <v>279</v>
      </c>
      <c r="AU26" s="1" t="s">
        <v>279</v>
      </c>
      <c r="AV26" s="11" t="s">
        <v>274</v>
      </c>
      <c r="AX26" s="21" t="s">
        <v>713</v>
      </c>
      <c r="AY26">
        <v>23</v>
      </c>
      <c r="AZ26">
        <v>4</v>
      </c>
      <c r="BA26">
        <v>2</v>
      </c>
      <c r="BB26">
        <v>2</v>
      </c>
      <c r="BE26">
        <v>1</v>
      </c>
      <c r="BJ26">
        <v>3</v>
      </c>
      <c r="BK26">
        <v>5</v>
      </c>
      <c r="BM26">
        <v>1</v>
      </c>
      <c r="BO26">
        <v>1</v>
      </c>
      <c r="BR26">
        <v>12</v>
      </c>
      <c r="BS26">
        <v>5</v>
      </c>
      <c r="BT26">
        <v>2</v>
      </c>
      <c r="BV26">
        <v>1</v>
      </c>
      <c r="CA26">
        <v>1</v>
      </c>
      <c r="CC26">
        <v>1</v>
      </c>
      <c r="CF26">
        <v>1</v>
      </c>
      <c r="CH26">
        <v>2</v>
      </c>
      <c r="CI26" s="22">
        <v>1</v>
      </c>
      <c r="CK26" s="21" t="s">
        <v>339</v>
      </c>
      <c r="CL26" s="26">
        <v>30</v>
      </c>
      <c r="CM26" s="26">
        <v>0</v>
      </c>
      <c r="CN26" s="26">
        <v>5</v>
      </c>
      <c r="CO26" s="26">
        <v>-4</v>
      </c>
      <c r="CP26" s="26">
        <v>0</v>
      </c>
      <c r="CQ26" s="26">
        <v>-2</v>
      </c>
      <c r="CR26" s="26">
        <v>-2</v>
      </c>
      <c r="CS26" s="26">
        <v>0</v>
      </c>
      <c r="CT26" s="26">
        <v>-2</v>
      </c>
      <c r="CU26" s="26">
        <v>-4</v>
      </c>
      <c r="CV26" s="26">
        <v>3</v>
      </c>
      <c r="CW26" s="26">
        <v>0</v>
      </c>
      <c r="CX26" s="26">
        <v>0</v>
      </c>
      <c r="CY26" s="26">
        <v>0</v>
      </c>
      <c r="CZ26" s="26">
        <v>10</v>
      </c>
      <c r="DA26" s="26">
        <v>10</v>
      </c>
      <c r="DB26" s="26">
        <v>30</v>
      </c>
      <c r="DC26" s="28">
        <v>0.5</v>
      </c>
      <c r="DD26" s="1" t="s">
        <v>354</v>
      </c>
      <c r="DE26" s="26">
        <v>0</v>
      </c>
      <c r="DF26" s="1">
        <v>72</v>
      </c>
      <c r="DG26" s="1">
        <v>67</v>
      </c>
      <c r="DH26" s="1">
        <v>220</v>
      </c>
      <c r="DI26" s="1">
        <v>166</v>
      </c>
      <c r="DJ26" s="1">
        <v>6</v>
      </c>
      <c r="DK26" s="29" t="s">
        <v>373</v>
      </c>
      <c r="DM26" s="16">
        <v>22</v>
      </c>
      <c r="DN26" s="35">
        <f>ROUND(DN$27-1/6,1)</f>
        <v>-5.2</v>
      </c>
      <c r="DQ26" s="21" t="s">
        <v>666</v>
      </c>
      <c r="DR26" s="1">
        <v>4</v>
      </c>
      <c r="DS26" s="1">
        <v>75</v>
      </c>
      <c r="DT26" s="1" t="s">
        <v>648</v>
      </c>
      <c r="DU26" s="1" t="s">
        <v>681</v>
      </c>
      <c r="DV26" t="s">
        <v>424</v>
      </c>
      <c r="DW26" s="1">
        <v>-1</v>
      </c>
      <c r="DX26" s="22" t="s">
        <v>424</v>
      </c>
      <c r="DZ26" s="21" t="s">
        <v>441</v>
      </c>
      <c r="EA26">
        <v>3</v>
      </c>
      <c r="EB26" s="56">
        <v>0.01</v>
      </c>
      <c r="EC26" s="57">
        <v>30</v>
      </c>
      <c r="ED26" s="51">
        <v>-3</v>
      </c>
      <c r="EE26" s="58">
        <v>-5</v>
      </c>
      <c r="EF26" s="58">
        <v>0</v>
      </c>
      <c r="EG26" s="771"/>
      <c r="EU26" s="21" t="s">
        <v>254</v>
      </c>
      <c r="EV26" s="2" t="s">
        <v>139</v>
      </c>
      <c r="EW26" s="2" t="s">
        <v>161</v>
      </c>
      <c r="EX26" s="2" t="s">
        <v>156</v>
      </c>
      <c r="EY26" s="2" t="s">
        <v>165</v>
      </c>
      <c r="EZ26" s="2" t="s">
        <v>174</v>
      </c>
      <c r="FA26" s="2" t="s">
        <v>175</v>
      </c>
      <c r="FB26" s="2" t="s">
        <v>191</v>
      </c>
      <c r="FC26" s="2" t="s">
        <v>204</v>
      </c>
      <c r="FD26" s="2" t="s">
        <v>206</v>
      </c>
      <c r="FE26" s="2" t="s">
        <v>207</v>
      </c>
      <c r="FF26" s="2" t="s">
        <v>266</v>
      </c>
      <c r="FG26" s="2" t="s">
        <v>265</v>
      </c>
      <c r="FH26" s="2" t="s">
        <v>267</v>
      </c>
      <c r="FI26" s="2" t="s">
        <v>264</v>
      </c>
      <c r="FJ26" s="127" t="s">
        <v>225</v>
      </c>
      <c r="FL26" s="128" t="s">
        <v>868</v>
      </c>
      <c r="FM26" s="1">
        <v>6</v>
      </c>
      <c r="FN26" s="1"/>
      <c r="FO26" s="1" t="s">
        <v>846</v>
      </c>
      <c r="FP26" s="11" t="s">
        <v>846</v>
      </c>
      <c r="FR26" s="773"/>
      <c r="FS26" s="128" t="s">
        <v>839</v>
      </c>
      <c r="FT26" s="1">
        <f>Skills!J10</f>
        <v>0</v>
      </c>
      <c r="FU26" s="2" t="s">
        <v>873</v>
      </c>
      <c r="FV26" s="2" t="s">
        <v>874</v>
      </c>
      <c r="FW26" s="2" t="s">
        <v>880</v>
      </c>
      <c r="FX26" s="2" t="s">
        <v>888</v>
      </c>
      <c r="FY26" s="2" t="s">
        <v>890</v>
      </c>
      <c r="FZ26" s="2" t="s">
        <v>909</v>
      </c>
      <c r="GA26" s="2" t="s">
        <v>930</v>
      </c>
      <c r="GE26" s="127"/>
    </row>
    <row r="27" spans="1:187" ht="15" customHeight="1" thickBot="1" x14ac:dyDescent="0.3">
      <c r="A27" s="1">
        <v>23</v>
      </c>
      <c r="B27" s="1">
        <f t="shared" si="2"/>
        <v>86</v>
      </c>
      <c r="D27" s="21" t="s">
        <v>255</v>
      </c>
      <c r="E27" s="11">
        <v>24</v>
      </c>
      <c r="G27" s="21" t="s">
        <v>715</v>
      </c>
      <c r="H27" s="11">
        <v>24</v>
      </c>
      <c r="J27" s="21" t="s">
        <v>423</v>
      </c>
      <c r="K27" s="22">
        <v>1</v>
      </c>
      <c r="M27" s="21" t="s">
        <v>255</v>
      </c>
      <c r="N27" s="1">
        <v>24</v>
      </c>
      <c r="O27" s="1" t="e">
        <v>#N/A</v>
      </c>
      <c r="P27" s="1" t="s">
        <v>274</v>
      </c>
      <c r="Q27" s="1" t="s">
        <v>275</v>
      </c>
      <c r="R27" s="1" t="s">
        <v>277</v>
      </c>
      <c r="S27" s="1" t="s">
        <v>275</v>
      </c>
      <c r="T27" s="1" t="s">
        <v>279</v>
      </c>
      <c r="U27" s="1" t="s">
        <v>277</v>
      </c>
      <c r="V27" s="1" t="s">
        <v>278</v>
      </c>
      <c r="W27" s="1" t="s">
        <v>277</v>
      </c>
      <c r="X27" s="1" t="s">
        <v>283</v>
      </c>
      <c r="Y27" s="1" t="s">
        <v>281</v>
      </c>
      <c r="Z27" s="1" t="s">
        <v>274</v>
      </c>
      <c r="AA27" s="1" t="s">
        <v>274</v>
      </c>
      <c r="AB27" s="1" t="s">
        <v>271</v>
      </c>
      <c r="AC27" s="1" t="s">
        <v>275</v>
      </c>
      <c r="AD27" s="1" t="s">
        <v>275</v>
      </c>
      <c r="AE27" s="1" t="s">
        <v>273</v>
      </c>
      <c r="AF27" s="1" t="s">
        <v>270</v>
      </c>
      <c r="AG27" s="1" t="s">
        <v>276</v>
      </c>
      <c r="AH27" s="1" t="s">
        <v>270</v>
      </c>
      <c r="AI27" s="1" t="s">
        <v>272</v>
      </c>
      <c r="AJ27" s="1" t="s">
        <v>274</v>
      </c>
      <c r="AK27" s="1" t="s">
        <v>271</v>
      </c>
      <c r="AL27" s="1" t="s">
        <v>274</v>
      </c>
      <c r="AM27" s="1" t="s">
        <v>271</v>
      </c>
      <c r="AN27" s="1" t="s">
        <v>276</v>
      </c>
      <c r="AO27" s="1" t="s">
        <v>276</v>
      </c>
      <c r="AP27" s="1" t="s">
        <v>273</v>
      </c>
      <c r="AQ27" s="1" t="s">
        <v>270</v>
      </c>
      <c r="AR27" s="1" t="s">
        <v>279</v>
      </c>
      <c r="AS27" s="1" t="s">
        <v>278</v>
      </c>
      <c r="AT27" s="1" t="s">
        <v>278</v>
      </c>
      <c r="AU27" s="1" t="s">
        <v>279</v>
      </c>
      <c r="AV27" s="11" t="s">
        <v>274</v>
      </c>
      <c r="AX27" s="21" t="s">
        <v>715</v>
      </c>
      <c r="AY27">
        <v>24</v>
      </c>
      <c r="BB27">
        <v>1</v>
      </c>
      <c r="BE27">
        <v>1</v>
      </c>
      <c r="BJ27">
        <v>6</v>
      </c>
      <c r="BK27">
        <v>5</v>
      </c>
      <c r="BO27">
        <v>1</v>
      </c>
      <c r="BR27">
        <v>20</v>
      </c>
      <c r="BS27">
        <v>5</v>
      </c>
      <c r="BT27">
        <v>2</v>
      </c>
      <c r="BU27">
        <v>1</v>
      </c>
      <c r="BV27">
        <v>6</v>
      </c>
      <c r="BX27">
        <v>1</v>
      </c>
      <c r="CA27">
        <v>1</v>
      </c>
      <c r="CC27">
        <v>1</v>
      </c>
      <c r="CD27">
        <v>1</v>
      </c>
      <c r="CF27">
        <v>1</v>
      </c>
      <c r="CG27">
        <v>1</v>
      </c>
      <c r="CI27" s="22">
        <v>1</v>
      </c>
      <c r="CK27" s="21" t="s">
        <v>340</v>
      </c>
      <c r="CL27" s="26">
        <v>60</v>
      </c>
      <c r="CM27" s="26">
        <v>0</v>
      </c>
      <c r="CN27" s="26">
        <v>-2</v>
      </c>
      <c r="CO27" s="26">
        <v>0</v>
      </c>
      <c r="CP27" s="26">
        <v>0</v>
      </c>
      <c r="CQ27" s="26">
        <v>1</v>
      </c>
      <c r="CR27" s="26">
        <v>0</v>
      </c>
      <c r="CS27" s="26">
        <v>0</v>
      </c>
      <c r="CT27" s="26">
        <v>1</v>
      </c>
      <c r="CU27" s="26">
        <v>-2</v>
      </c>
      <c r="CV27" s="26">
        <v>0</v>
      </c>
      <c r="CW27" s="26">
        <v>-5</v>
      </c>
      <c r="CX27" s="26">
        <v>-5</v>
      </c>
      <c r="CY27" s="26">
        <v>-10</v>
      </c>
      <c r="CZ27" s="26">
        <v>5</v>
      </c>
      <c r="DA27" s="26">
        <v>0</v>
      </c>
      <c r="DB27" s="26">
        <v>20</v>
      </c>
      <c r="DC27" s="28">
        <v>0.5</v>
      </c>
      <c r="DD27" s="1" t="s">
        <v>354</v>
      </c>
      <c r="DE27" s="26">
        <v>0</v>
      </c>
      <c r="DF27" s="1">
        <v>66</v>
      </c>
      <c r="DG27" s="1">
        <v>62</v>
      </c>
      <c r="DH27" s="1">
        <v>160</v>
      </c>
      <c r="DI27" s="1">
        <v>140</v>
      </c>
      <c r="DJ27" s="1">
        <v>5</v>
      </c>
      <c r="DK27" s="29" t="s">
        <v>377</v>
      </c>
      <c r="DM27" s="16">
        <v>23</v>
      </c>
      <c r="DN27" s="35">
        <v>-5</v>
      </c>
      <c r="DQ27" s="21" t="s">
        <v>667</v>
      </c>
      <c r="DR27" s="1">
        <v>4</v>
      </c>
      <c r="DS27" s="1">
        <v>80</v>
      </c>
      <c r="DT27" s="1" t="s">
        <v>678</v>
      </c>
      <c r="DU27" s="1" t="s">
        <v>683</v>
      </c>
      <c r="DV27" t="s">
        <v>424</v>
      </c>
      <c r="DW27" s="1">
        <v>1</v>
      </c>
      <c r="DX27" s="22" t="s">
        <v>424</v>
      </c>
      <c r="DZ27" s="21" t="s">
        <v>442</v>
      </c>
      <c r="EA27">
        <v>4</v>
      </c>
      <c r="EB27" s="56">
        <v>0.02</v>
      </c>
      <c r="EC27" s="57">
        <v>35</v>
      </c>
      <c r="ED27" s="51">
        <v>-8</v>
      </c>
      <c r="EE27" s="58">
        <v>-10</v>
      </c>
      <c r="EF27" s="58">
        <v>0</v>
      </c>
      <c r="EG27" s="771"/>
      <c r="EU27" s="21" t="s">
        <v>255</v>
      </c>
      <c r="EV27" s="2" t="s">
        <v>130</v>
      </c>
      <c r="EW27" s="2" t="s">
        <v>134</v>
      </c>
      <c r="EX27" s="2" t="s">
        <v>139</v>
      </c>
      <c r="EY27" s="2" t="s">
        <v>156</v>
      </c>
      <c r="EZ27" s="2" t="s">
        <v>165</v>
      </c>
      <c r="FA27" s="2" t="s">
        <v>169</v>
      </c>
      <c r="FB27" s="2" t="s">
        <v>170</v>
      </c>
      <c r="FC27" s="2" t="s">
        <v>175</v>
      </c>
      <c r="FD27" s="2" t="s">
        <v>191</v>
      </c>
      <c r="FE27" s="2" t="s">
        <v>204</v>
      </c>
      <c r="FF27" s="2" t="s">
        <v>207</v>
      </c>
      <c r="FG27" s="2" t="s">
        <v>266</v>
      </c>
      <c r="FH27" s="2" t="s">
        <v>265</v>
      </c>
      <c r="FI27" s="2" t="s">
        <v>267</v>
      </c>
      <c r="FJ27" s="127" t="s">
        <v>264</v>
      </c>
      <c r="FL27" s="128" t="s">
        <v>869</v>
      </c>
      <c r="FM27" s="1">
        <v>4</v>
      </c>
      <c r="FN27" s="1"/>
      <c r="FO27" s="1" t="s">
        <v>846</v>
      </c>
      <c r="FP27" s="11"/>
      <c r="FR27" s="773"/>
      <c r="FS27" s="129" t="s">
        <v>840</v>
      </c>
      <c r="FT27" s="24">
        <f>Skills!J11</f>
        <v>0</v>
      </c>
      <c r="FU27" s="130" t="s">
        <v>854</v>
      </c>
      <c r="FV27" s="130" t="s">
        <v>866</v>
      </c>
      <c r="FW27" s="130" t="s">
        <v>873</v>
      </c>
      <c r="FX27" s="130" t="s">
        <v>874</v>
      </c>
      <c r="FY27" s="130" t="s">
        <v>880</v>
      </c>
      <c r="FZ27" s="130" t="s">
        <v>890</v>
      </c>
      <c r="GA27" s="130" t="s">
        <v>930</v>
      </c>
      <c r="GB27" s="130" t="s">
        <v>935</v>
      </c>
      <c r="GC27" s="130" t="s">
        <v>937</v>
      </c>
      <c r="GD27" s="130"/>
      <c r="GE27" s="228"/>
    </row>
    <row r="28" spans="1:187" ht="15" customHeight="1" thickBot="1" x14ac:dyDescent="0.3">
      <c r="A28" s="1">
        <v>24</v>
      </c>
      <c r="B28" s="1">
        <f t="shared" si="2"/>
        <v>88</v>
      </c>
      <c r="D28" s="21" t="s">
        <v>256</v>
      </c>
      <c r="E28" s="11">
        <v>25</v>
      </c>
      <c r="G28" s="21" t="s">
        <v>716</v>
      </c>
      <c r="H28" s="11">
        <v>25</v>
      </c>
      <c r="J28" s="21" t="s">
        <v>424</v>
      </c>
      <c r="K28" s="22">
        <v>2</v>
      </c>
      <c r="M28" s="21" t="s">
        <v>256</v>
      </c>
      <c r="N28" s="1">
        <v>25</v>
      </c>
      <c r="O28" s="1" t="e">
        <v>#N/A</v>
      </c>
      <c r="P28" s="1" t="s">
        <v>272</v>
      </c>
      <c r="Q28" s="1" t="s">
        <v>275</v>
      </c>
      <c r="R28" s="1" t="s">
        <v>277</v>
      </c>
      <c r="S28" s="1" t="s">
        <v>279</v>
      </c>
      <c r="T28" s="1" t="s">
        <v>273</v>
      </c>
      <c r="U28" s="1" t="s">
        <v>277</v>
      </c>
      <c r="V28" s="1" t="s">
        <v>279</v>
      </c>
      <c r="W28" s="1" t="s">
        <v>278</v>
      </c>
      <c r="X28" s="1" t="s">
        <v>282</v>
      </c>
      <c r="Y28" s="1" t="s">
        <v>281</v>
      </c>
      <c r="Z28" s="1" t="s">
        <v>274</v>
      </c>
      <c r="AA28" s="1" t="s">
        <v>274</v>
      </c>
      <c r="AB28" s="1" t="s">
        <v>275</v>
      </c>
      <c r="AC28" s="1" t="s">
        <v>275</v>
      </c>
      <c r="AD28" s="1" t="s">
        <v>275</v>
      </c>
      <c r="AE28" s="1" t="s">
        <v>271</v>
      </c>
      <c r="AF28" s="1" t="s">
        <v>271</v>
      </c>
      <c r="AG28" s="1" t="s">
        <v>276</v>
      </c>
      <c r="AH28" s="1" t="s">
        <v>270</v>
      </c>
      <c r="AI28" s="1" t="s">
        <v>275</v>
      </c>
      <c r="AJ28" s="1" t="s">
        <v>274</v>
      </c>
      <c r="AK28" s="1" t="s">
        <v>271</v>
      </c>
      <c r="AL28" s="1" t="s">
        <v>275</v>
      </c>
      <c r="AM28" s="1" t="s">
        <v>270</v>
      </c>
      <c r="AN28" s="1" t="s">
        <v>273</v>
      </c>
      <c r="AO28" s="1" t="s">
        <v>273</v>
      </c>
      <c r="AP28" s="1" t="s">
        <v>271</v>
      </c>
      <c r="AQ28" s="1" t="s">
        <v>274</v>
      </c>
      <c r="AR28" s="1" t="s">
        <v>275</v>
      </c>
      <c r="AS28" s="1" t="s">
        <v>277</v>
      </c>
      <c r="AT28" s="1" t="s">
        <v>278</v>
      </c>
      <c r="AU28" s="1" t="s">
        <v>279</v>
      </c>
      <c r="AV28" s="11" t="s">
        <v>274</v>
      </c>
      <c r="AX28" s="21" t="s">
        <v>716</v>
      </c>
      <c r="AY28">
        <v>25</v>
      </c>
      <c r="AZ28">
        <v>1</v>
      </c>
      <c r="BB28">
        <v>1</v>
      </c>
      <c r="BC28">
        <v>1</v>
      </c>
      <c r="BD28">
        <v>2</v>
      </c>
      <c r="BE28">
        <v>2</v>
      </c>
      <c r="BG28">
        <v>2</v>
      </c>
      <c r="BH28">
        <v>1</v>
      </c>
      <c r="BK28">
        <v>3</v>
      </c>
      <c r="BO28">
        <v>2</v>
      </c>
      <c r="BQ28">
        <v>1</v>
      </c>
      <c r="BR28">
        <v>6</v>
      </c>
      <c r="BS28">
        <v>5</v>
      </c>
      <c r="BT28">
        <v>1</v>
      </c>
      <c r="BV28">
        <v>3</v>
      </c>
      <c r="BX28">
        <v>1</v>
      </c>
      <c r="BY28">
        <v>1</v>
      </c>
      <c r="CA28">
        <v>2</v>
      </c>
      <c r="CC28">
        <v>2</v>
      </c>
      <c r="CI28" s="22">
        <v>2</v>
      </c>
      <c r="CK28" s="21" t="s">
        <v>341</v>
      </c>
      <c r="CL28" s="26">
        <v>75</v>
      </c>
      <c r="CM28" s="26">
        <v>0</v>
      </c>
      <c r="CN28" s="26">
        <v>2</v>
      </c>
      <c r="CO28" s="26">
        <v>-3</v>
      </c>
      <c r="CP28" s="26">
        <v>0</v>
      </c>
      <c r="CQ28" s="26">
        <v>-2</v>
      </c>
      <c r="CR28" s="26">
        <v>-3</v>
      </c>
      <c r="CS28" s="26">
        <v>0</v>
      </c>
      <c r="CT28" s="26">
        <v>-2</v>
      </c>
      <c r="CU28" s="26">
        <v>-4</v>
      </c>
      <c r="CV28" s="26">
        <v>1</v>
      </c>
      <c r="CW28" s="26">
        <v>0</v>
      </c>
      <c r="CX28" s="26">
        <v>0</v>
      </c>
      <c r="CY28" s="26">
        <v>0</v>
      </c>
      <c r="CZ28" s="26">
        <v>5</v>
      </c>
      <c r="DA28" s="26">
        <v>5</v>
      </c>
      <c r="DB28" s="26">
        <v>25</v>
      </c>
      <c r="DC28" s="28">
        <v>0.5</v>
      </c>
      <c r="DD28" s="1" t="s">
        <v>354</v>
      </c>
      <c r="DE28" s="26">
        <v>-2</v>
      </c>
      <c r="DF28" s="1">
        <v>60</v>
      </c>
      <c r="DG28" s="1">
        <v>56</v>
      </c>
      <c r="DH28" s="1">
        <v>150</v>
      </c>
      <c r="DI28" s="1">
        <v>125</v>
      </c>
      <c r="DJ28" s="1">
        <v>4</v>
      </c>
      <c r="DK28" s="29" t="s">
        <v>374</v>
      </c>
      <c r="DM28" s="16">
        <v>24</v>
      </c>
      <c r="DN28" s="35">
        <f>ROUND(DN33-5/6,1)</f>
        <v>-4.8</v>
      </c>
      <c r="DQ28" s="21" t="s">
        <v>632</v>
      </c>
      <c r="DR28" s="1">
        <v>10</v>
      </c>
      <c r="DS28" s="1">
        <v>60</v>
      </c>
      <c r="DT28" s="1" t="s">
        <v>94</v>
      </c>
      <c r="DU28" s="1" t="s">
        <v>94</v>
      </c>
      <c r="DV28" t="s">
        <v>419</v>
      </c>
      <c r="DW28" s="1">
        <v>1</v>
      </c>
      <c r="DX28" s="22" t="s">
        <v>631</v>
      </c>
      <c r="DZ28" s="21" t="s">
        <v>443</v>
      </c>
      <c r="EA28">
        <v>5</v>
      </c>
      <c r="EB28" s="56">
        <v>0.02</v>
      </c>
      <c r="EC28" s="57">
        <v>40</v>
      </c>
      <c r="ED28" s="51">
        <v>-10</v>
      </c>
      <c r="EE28" s="58">
        <v>-15</v>
      </c>
      <c r="EF28" s="58">
        <v>0</v>
      </c>
      <c r="EG28" s="771"/>
      <c r="EU28" s="21" t="s">
        <v>256</v>
      </c>
      <c r="EV28" s="2" t="s">
        <v>105</v>
      </c>
      <c r="EW28" s="2" t="s">
        <v>139</v>
      </c>
      <c r="EX28" s="2" t="s">
        <v>156</v>
      </c>
      <c r="EY28" s="2" t="s">
        <v>165</v>
      </c>
      <c r="EZ28" s="2" t="s">
        <v>169</v>
      </c>
      <c r="FA28" s="2" t="s">
        <v>170</v>
      </c>
      <c r="FB28" s="2" t="s">
        <v>174</v>
      </c>
      <c r="FC28" s="2" t="s">
        <v>175</v>
      </c>
      <c r="FD28" s="2" t="s">
        <v>60</v>
      </c>
      <c r="FE28" s="2" t="s">
        <v>191</v>
      </c>
      <c r="FF28" s="2" t="s">
        <v>207</v>
      </c>
      <c r="FG28" s="2" t="s">
        <v>266</v>
      </c>
      <c r="FH28" s="2" t="s">
        <v>265</v>
      </c>
      <c r="FI28" s="2" t="s">
        <v>267</v>
      </c>
      <c r="FJ28" s="127" t="s">
        <v>264</v>
      </c>
      <c r="FL28" s="128" t="s">
        <v>870</v>
      </c>
      <c r="FM28" s="1">
        <v>4</v>
      </c>
      <c r="FN28" s="1" t="s">
        <v>846</v>
      </c>
      <c r="FO28" s="1" t="s">
        <v>846</v>
      </c>
      <c r="FP28" s="11" t="s">
        <v>846</v>
      </c>
    </row>
    <row r="29" spans="1:187" ht="15" customHeight="1" thickBot="1" x14ac:dyDescent="0.3">
      <c r="A29" s="1">
        <v>25</v>
      </c>
      <c r="B29" s="1">
        <f t="shared" si="2"/>
        <v>90</v>
      </c>
      <c r="D29" s="21" t="s">
        <v>257</v>
      </c>
      <c r="E29" s="11">
        <v>26</v>
      </c>
      <c r="G29" s="21" t="s">
        <v>297</v>
      </c>
      <c r="H29" s="11">
        <v>26</v>
      </c>
      <c r="J29" s="21" t="s">
        <v>425</v>
      </c>
      <c r="K29" s="22">
        <v>3</v>
      </c>
      <c r="M29" s="21" t="s">
        <v>257</v>
      </c>
      <c r="N29" s="1">
        <v>26</v>
      </c>
      <c r="O29" s="1" t="e">
        <v>#N/A</v>
      </c>
      <c r="P29" s="1" t="s">
        <v>275</v>
      </c>
      <c r="Q29" s="1" t="s">
        <v>270</v>
      </c>
      <c r="R29" s="1" t="s">
        <v>277</v>
      </c>
      <c r="S29" s="1" t="s">
        <v>278</v>
      </c>
      <c r="T29" s="1" t="s">
        <v>278</v>
      </c>
      <c r="U29" s="1" t="s">
        <v>277</v>
      </c>
      <c r="V29" s="1" t="s">
        <v>275</v>
      </c>
      <c r="W29" s="1" t="s">
        <v>279</v>
      </c>
      <c r="X29" s="1" t="s">
        <v>277</v>
      </c>
      <c r="Y29" s="1" t="s">
        <v>283</v>
      </c>
      <c r="Z29" s="1" t="s">
        <v>274</v>
      </c>
      <c r="AA29" s="1" t="s">
        <v>274</v>
      </c>
      <c r="AB29" s="1" t="s">
        <v>272</v>
      </c>
      <c r="AC29" s="1" t="s">
        <v>275</v>
      </c>
      <c r="AD29" s="1" t="s">
        <v>272</v>
      </c>
      <c r="AE29" s="1" t="s">
        <v>271</v>
      </c>
      <c r="AF29" s="1" t="s">
        <v>274</v>
      </c>
      <c r="AG29" s="1" t="s">
        <v>275</v>
      </c>
      <c r="AH29" s="1" t="s">
        <v>270</v>
      </c>
      <c r="AI29" s="1" t="s">
        <v>272</v>
      </c>
      <c r="AJ29" s="1" t="s">
        <v>270</v>
      </c>
      <c r="AK29" s="1" t="s">
        <v>270</v>
      </c>
      <c r="AL29" s="1" t="s">
        <v>275</v>
      </c>
      <c r="AM29" s="1" t="s">
        <v>271</v>
      </c>
      <c r="AN29" s="1" t="s">
        <v>273</v>
      </c>
      <c r="AO29" s="1" t="s">
        <v>273</v>
      </c>
      <c r="AP29" s="1" t="s">
        <v>271</v>
      </c>
      <c r="AQ29" s="1" t="s">
        <v>274</v>
      </c>
      <c r="AR29" s="1" t="s">
        <v>275</v>
      </c>
      <c r="AS29" s="1" t="s">
        <v>277</v>
      </c>
      <c r="AT29" s="1" t="s">
        <v>274</v>
      </c>
      <c r="AU29" s="1" t="s">
        <v>272</v>
      </c>
      <c r="AV29" s="11" t="s">
        <v>274</v>
      </c>
      <c r="AX29" s="21" t="s">
        <v>297</v>
      </c>
      <c r="AY29">
        <v>26</v>
      </c>
      <c r="AZ29">
        <v>2</v>
      </c>
      <c r="BB29">
        <v>1</v>
      </c>
      <c r="BC29">
        <v>1</v>
      </c>
      <c r="BE29">
        <v>1</v>
      </c>
      <c r="BG29">
        <v>1</v>
      </c>
      <c r="BI29">
        <v>1</v>
      </c>
      <c r="BK29">
        <v>4</v>
      </c>
      <c r="BO29">
        <v>2</v>
      </c>
      <c r="BR29">
        <v>13</v>
      </c>
      <c r="BS29">
        <v>5</v>
      </c>
      <c r="BV29">
        <v>4</v>
      </c>
      <c r="BW29">
        <v>1</v>
      </c>
      <c r="BX29">
        <v>1</v>
      </c>
      <c r="CA29">
        <v>2</v>
      </c>
      <c r="CC29">
        <v>2</v>
      </c>
      <c r="CF29">
        <v>1</v>
      </c>
      <c r="CH29">
        <v>1</v>
      </c>
      <c r="CI29" s="22">
        <v>2</v>
      </c>
      <c r="CK29" s="21" t="s">
        <v>342</v>
      </c>
      <c r="CL29" s="26">
        <v>0</v>
      </c>
      <c r="CM29" s="26">
        <v>0</v>
      </c>
      <c r="CN29" s="26">
        <v>4</v>
      </c>
      <c r="CO29" s="26">
        <v>-2</v>
      </c>
      <c r="CP29" s="26">
        <v>0</v>
      </c>
      <c r="CQ29" s="26">
        <v>-2</v>
      </c>
      <c r="CR29" s="26">
        <v>-2</v>
      </c>
      <c r="CS29" s="26">
        <v>0</v>
      </c>
      <c r="CT29" s="26">
        <v>-2</v>
      </c>
      <c r="CU29" s="26">
        <v>-4</v>
      </c>
      <c r="CV29" s="26">
        <v>2</v>
      </c>
      <c r="CW29" s="26">
        <v>5</v>
      </c>
      <c r="CX29" s="26">
        <v>5</v>
      </c>
      <c r="CY29" s="26">
        <v>5</v>
      </c>
      <c r="CZ29" s="26">
        <v>10</v>
      </c>
      <c r="DA29" s="26">
        <v>10</v>
      </c>
      <c r="DB29" s="26">
        <v>35</v>
      </c>
      <c r="DC29" s="28">
        <v>0.5</v>
      </c>
      <c r="DD29" s="1" t="s">
        <v>362</v>
      </c>
      <c r="DE29" s="26">
        <v>5</v>
      </c>
      <c r="DF29" s="1">
        <v>99</v>
      </c>
      <c r="DG29" s="1">
        <v>90</v>
      </c>
      <c r="DH29" s="1">
        <v>575</v>
      </c>
      <c r="DI29" s="1">
        <v>480</v>
      </c>
      <c r="DJ29" s="1">
        <v>6</v>
      </c>
      <c r="DK29" s="29" t="s">
        <v>376</v>
      </c>
      <c r="DM29" s="16">
        <v>25</v>
      </c>
      <c r="DN29" s="35">
        <f>ROUND(DN33-4/6,1)</f>
        <v>-4.7</v>
      </c>
      <c r="DQ29" s="21" t="s">
        <v>676</v>
      </c>
      <c r="DR29" s="1">
        <v>3</v>
      </c>
      <c r="DS29" s="1">
        <v>90</v>
      </c>
      <c r="DT29" s="1" t="s">
        <v>94</v>
      </c>
      <c r="DU29" s="1" t="s">
        <v>648</v>
      </c>
      <c r="DV29" t="s">
        <v>426</v>
      </c>
      <c r="DW29" s="1">
        <v>1</v>
      </c>
      <c r="DX29" s="22" t="s">
        <v>675</v>
      </c>
      <c r="DZ29" s="21" t="s">
        <v>410</v>
      </c>
      <c r="EA29">
        <v>6</v>
      </c>
      <c r="EB29" s="56">
        <v>0.02</v>
      </c>
      <c r="EC29" s="57">
        <v>45</v>
      </c>
      <c r="ED29" s="51">
        <v>-11</v>
      </c>
      <c r="EE29" s="58">
        <v>-20</v>
      </c>
      <c r="EF29" s="58">
        <v>0</v>
      </c>
      <c r="EG29" s="771"/>
      <c r="EU29" s="21" t="s">
        <v>257</v>
      </c>
      <c r="EV29" s="2" t="s">
        <v>86</v>
      </c>
      <c r="EW29" s="2" t="s">
        <v>139</v>
      </c>
      <c r="EX29" s="2" t="s">
        <v>159</v>
      </c>
      <c r="EY29" s="2" t="s">
        <v>165</v>
      </c>
      <c r="EZ29" s="2" t="s">
        <v>166</v>
      </c>
      <c r="FA29" s="2" t="s">
        <v>174</v>
      </c>
      <c r="FB29" s="2" t="s">
        <v>175</v>
      </c>
      <c r="FC29" s="2" t="s">
        <v>184</v>
      </c>
      <c r="FD29" s="2" t="s">
        <v>790</v>
      </c>
      <c r="FE29" s="2" t="s">
        <v>191</v>
      </c>
      <c r="FF29" s="2" t="s">
        <v>265</v>
      </c>
      <c r="FG29" s="2" t="s">
        <v>267</v>
      </c>
      <c r="FH29" s="2" t="s">
        <v>264</v>
      </c>
      <c r="FI29" s="2" t="s">
        <v>215</v>
      </c>
      <c r="FJ29" s="127" t="s">
        <v>216</v>
      </c>
      <c r="FL29" s="128" t="s">
        <v>871</v>
      </c>
      <c r="FM29" s="1">
        <v>4</v>
      </c>
      <c r="FN29" s="1"/>
      <c r="FO29" s="1" t="s">
        <v>846</v>
      </c>
      <c r="FP29" s="11" t="s">
        <v>846</v>
      </c>
      <c r="FS29" s="259" t="s">
        <v>958</v>
      </c>
      <c r="FT29" s="259" t="s">
        <v>959</v>
      </c>
    </row>
    <row r="30" spans="1:187" ht="15" customHeight="1" thickBot="1" x14ac:dyDescent="0.3">
      <c r="A30" s="1">
        <v>26</v>
      </c>
      <c r="B30" s="1">
        <f t="shared" si="2"/>
        <v>92</v>
      </c>
      <c r="D30" s="23" t="s">
        <v>258</v>
      </c>
      <c r="E30" s="25">
        <v>27</v>
      </c>
      <c r="G30" s="21" t="s">
        <v>298</v>
      </c>
      <c r="H30" s="11">
        <v>27</v>
      </c>
      <c r="J30" s="21" t="s">
        <v>426</v>
      </c>
      <c r="K30" s="22">
        <v>4</v>
      </c>
      <c r="M30" s="23" t="s">
        <v>258</v>
      </c>
      <c r="N30" s="24">
        <v>27</v>
      </c>
      <c r="O30" s="24" t="e">
        <v>#N/A</v>
      </c>
      <c r="P30" s="24" t="s">
        <v>275</v>
      </c>
      <c r="Q30" s="24" t="s">
        <v>275</v>
      </c>
      <c r="R30" s="24" t="s">
        <v>277</v>
      </c>
      <c r="S30" s="24" t="s">
        <v>278</v>
      </c>
      <c r="T30" s="24" t="s">
        <v>278</v>
      </c>
      <c r="U30" s="24" t="s">
        <v>277</v>
      </c>
      <c r="V30" s="24" t="s">
        <v>278</v>
      </c>
      <c r="W30" s="24" t="s">
        <v>277</v>
      </c>
      <c r="X30" s="24" t="s">
        <v>286</v>
      </c>
      <c r="Y30" s="24" t="s">
        <v>281</v>
      </c>
      <c r="Z30" s="24" t="s">
        <v>270</v>
      </c>
      <c r="AA30" s="24" t="s">
        <v>274</v>
      </c>
      <c r="AB30" s="24" t="s">
        <v>273</v>
      </c>
      <c r="AC30" s="24" t="s">
        <v>272</v>
      </c>
      <c r="AD30" s="24" t="s">
        <v>275</v>
      </c>
      <c r="AE30" s="24" t="s">
        <v>273</v>
      </c>
      <c r="AF30" s="24" t="s">
        <v>276</v>
      </c>
      <c r="AG30" s="24" t="s">
        <v>270</v>
      </c>
      <c r="AH30" s="24" t="s">
        <v>270</v>
      </c>
      <c r="AI30" s="24" t="s">
        <v>275</v>
      </c>
      <c r="AJ30" s="24" t="s">
        <v>274</v>
      </c>
      <c r="AK30" s="24" t="s">
        <v>270</v>
      </c>
      <c r="AL30" s="24" t="s">
        <v>274</v>
      </c>
      <c r="AM30" s="24" t="s">
        <v>271</v>
      </c>
      <c r="AN30" s="24" t="s">
        <v>273</v>
      </c>
      <c r="AO30" s="24" t="s">
        <v>273</v>
      </c>
      <c r="AP30" s="24" t="s">
        <v>271</v>
      </c>
      <c r="AQ30" s="24" t="s">
        <v>274</v>
      </c>
      <c r="AR30" s="24" t="s">
        <v>275</v>
      </c>
      <c r="AS30" s="24" t="s">
        <v>277</v>
      </c>
      <c r="AT30" s="24" t="s">
        <v>278</v>
      </c>
      <c r="AU30" s="24" t="s">
        <v>272</v>
      </c>
      <c r="AV30" s="25" t="s">
        <v>274</v>
      </c>
      <c r="AX30" s="21" t="s">
        <v>298</v>
      </c>
      <c r="AY30">
        <v>27</v>
      </c>
      <c r="BB30">
        <v>2</v>
      </c>
      <c r="BE30">
        <v>2</v>
      </c>
      <c r="BF30">
        <v>1</v>
      </c>
      <c r="BG30">
        <v>1</v>
      </c>
      <c r="BH30">
        <v>1</v>
      </c>
      <c r="BK30">
        <v>5</v>
      </c>
      <c r="BO30">
        <v>2</v>
      </c>
      <c r="BR30">
        <v>13</v>
      </c>
      <c r="BS30">
        <v>5</v>
      </c>
      <c r="BV30">
        <v>4</v>
      </c>
      <c r="BX30">
        <v>2</v>
      </c>
      <c r="CA30">
        <v>1</v>
      </c>
      <c r="CC30">
        <v>1</v>
      </c>
      <c r="CF30">
        <v>1</v>
      </c>
      <c r="CH30">
        <v>1</v>
      </c>
      <c r="CI30" s="22">
        <v>2</v>
      </c>
      <c r="CK30" s="21" t="s">
        <v>343</v>
      </c>
      <c r="CL30" s="26">
        <v>18</v>
      </c>
      <c r="CM30" s="26">
        <v>0</v>
      </c>
      <c r="CN30" s="26">
        <v>4</v>
      </c>
      <c r="CO30" s="26">
        <v>-2</v>
      </c>
      <c r="CP30" s="26">
        <v>0</v>
      </c>
      <c r="CQ30" s="26">
        <v>-2</v>
      </c>
      <c r="CR30" s="26">
        <v>-2</v>
      </c>
      <c r="CS30" s="26">
        <v>0</v>
      </c>
      <c r="CT30" s="26">
        <v>-2</v>
      </c>
      <c r="CU30" s="26">
        <v>-4</v>
      </c>
      <c r="CV30" s="26">
        <v>2</v>
      </c>
      <c r="CW30" s="26">
        <v>0</v>
      </c>
      <c r="CX30" s="26">
        <v>0</v>
      </c>
      <c r="CY30" s="26">
        <v>0</v>
      </c>
      <c r="CZ30" s="26">
        <v>5</v>
      </c>
      <c r="DA30" s="26">
        <v>0</v>
      </c>
      <c r="DB30" s="26">
        <v>30</v>
      </c>
      <c r="DC30" s="28">
        <v>0.5</v>
      </c>
      <c r="DD30" s="1" t="s">
        <v>354</v>
      </c>
      <c r="DE30" s="26">
        <v>0</v>
      </c>
      <c r="DF30" s="1">
        <v>72</v>
      </c>
      <c r="DG30" s="1">
        <v>67</v>
      </c>
      <c r="DH30" s="1">
        <v>250</v>
      </c>
      <c r="DI30" s="1">
        <v>190</v>
      </c>
      <c r="DJ30" s="1">
        <v>6</v>
      </c>
      <c r="DK30" s="29" t="s">
        <v>375</v>
      </c>
      <c r="DM30" s="16">
        <v>26</v>
      </c>
      <c r="DN30" s="35">
        <f>ROUND(DN33-3/6,1)</f>
        <v>-4.5</v>
      </c>
      <c r="DQ30" s="21" t="s">
        <v>672</v>
      </c>
      <c r="DR30" s="1">
        <v>4</v>
      </c>
      <c r="DS30" s="1">
        <v>40</v>
      </c>
      <c r="DT30" s="1" t="s">
        <v>94</v>
      </c>
      <c r="DU30" s="1" t="s">
        <v>684</v>
      </c>
      <c r="DV30" t="s">
        <v>426</v>
      </c>
      <c r="DW30" s="1">
        <v>-1</v>
      </c>
      <c r="DX30" s="22" t="s">
        <v>653</v>
      </c>
      <c r="DZ30" s="21" t="s">
        <v>444</v>
      </c>
      <c r="EA30">
        <v>7</v>
      </c>
      <c r="EB30" s="56">
        <v>0.03</v>
      </c>
      <c r="EC30" s="57">
        <v>50</v>
      </c>
      <c r="ED30" s="51">
        <v>-12</v>
      </c>
      <c r="EE30" s="58">
        <v>-25</v>
      </c>
      <c r="EF30" s="58">
        <v>0</v>
      </c>
      <c r="EG30" s="771"/>
      <c r="EU30" s="23" t="s">
        <v>258</v>
      </c>
      <c r="EV30" s="130" t="s">
        <v>139</v>
      </c>
      <c r="EW30" s="130" t="s">
        <v>140</v>
      </c>
      <c r="EX30" s="130" t="s">
        <v>153</v>
      </c>
      <c r="EY30" s="130" t="s">
        <v>155</v>
      </c>
      <c r="EZ30" s="130" t="s">
        <v>159</v>
      </c>
      <c r="FA30" s="130" t="s">
        <v>165</v>
      </c>
      <c r="FB30" s="130" t="s">
        <v>60</v>
      </c>
      <c r="FC30" s="130" t="s">
        <v>790</v>
      </c>
      <c r="FD30" s="130" t="s">
        <v>191</v>
      </c>
      <c r="FE30" s="130" t="s">
        <v>198</v>
      </c>
      <c r="FF30" s="130" t="s">
        <v>200</v>
      </c>
      <c r="FG30" s="130" t="s">
        <v>266</v>
      </c>
      <c r="FH30" s="130" t="s">
        <v>265</v>
      </c>
      <c r="FI30" s="130" t="s">
        <v>267</v>
      </c>
      <c r="FJ30" s="228" t="s">
        <v>264</v>
      </c>
      <c r="FL30" s="128" t="s">
        <v>872</v>
      </c>
      <c r="FM30" s="1">
        <v>6</v>
      </c>
      <c r="FN30" s="1"/>
      <c r="FO30" s="1"/>
      <c r="FP30" s="11" t="s">
        <v>846</v>
      </c>
      <c r="FS30" s="258">
        <f>Combat!G70</f>
        <v>0</v>
      </c>
      <c r="FT30" s="258">
        <f>Combat!M70</f>
        <v>0</v>
      </c>
    </row>
    <row r="31" spans="1:187" ht="15" customHeight="1" thickBot="1" x14ac:dyDescent="0.3">
      <c r="A31" s="1">
        <v>27</v>
      </c>
      <c r="B31" s="1">
        <f t="shared" si="2"/>
        <v>94</v>
      </c>
      <c r="G31" s="23" t="s">
        <v>299</v>
      </c>
      <c r="H31" s="25">
        <v>28</v>
      </c>
      <c r="J31" s="23" t="s">
        <v>422</v>
      </c>
      <c r="K31" s="37">
        <v>5</v>
      </c>
      <c r="AX31" s="23" t="s">
        <v>299</v>
      </c>
      <c r="AY31" s="45">
        <v>28</v>
      </c>
      <c r="AZ31" s="45">
        <v>1</v>
      </c>
      <c r="BA31" s="45"/>
      <c r="BB31" s="45">
        <v>2</v>
      </c>
      <c r="BC31" s="45"/>
      <c r="BD31" s="45"/>
      <c r="BE31" s="45">
        <v>1</v>
      </c>
      <c r="BF31" s="45"/>
      <c r="BG31" s="45">
        <v>1</v>
      </c>
      <c r="BH31" s="45"/>
      <c r="BI31" s="45"/>
      <c r="BJ31" s="45">
        <v>3</v>
      </c>
      <c r="BK31" s="45">
        <v>7</v>
      </c>
      <c r="BL31" s="45"/>
      <c r="BM31" s="45"/>
      <c r="BN31" s="45"/>
      <c r="BO31" s="45"/>
      <c r="BP31" s="45"/>
      <c r="BQ31" s="45"/>
      <c r="BR31" s="45">
        <v>17</v>
      </c>
      <c r="BS31" s="45">
        <v>5</v>
      </c>
      <c r="BT31" s="45">
        <v>3</v>
      </c>
      <c r="BU31" s="45">
        <v>1</v>
      </c>
      <c r="BV31" s="45">
        <v>7</v>
      </c>
      <c r="BW31" s="45"/>
      <c r="BX31" s="45"/>
      <c r="BY31" s="45"/>
      <c r="BZ31" s="45"/>
      <c r="CA31" s="45"/>
      <c r="CB31" s="45"/>
      <c r="CC31" s="45">
        <v>1</v>
      </c>
      <c r="CD31" s="45"/>
      <c r="CE31" s="45">
        <v>2</v>
      </c>
      <c r="CF31" s="45">
        <v>2</v>
      </c>
      <c r="CG31" s="45">
        <v>2</v>
      </c>
      <c r="CH31" s="45"/>
      <c r="CI31" s="37"/>
      <c r="CK31" s="21" t="s">
        <v>344</v>
      </c>
      <c r="CL31" s="26">
        <v>8</v>
      </c>
      <c r="CM31" s="26">
        <v>2</v>
      </c>
      <c r="CN31" s="26">
        <v>3</v>
      </c>
      <c r="CO31" s="26">
        <v>-2</v>
      </c>
      <c r="CP31" s="26">
        <v>1</v>
      </c>
      <c r="CQ31" s="26">
        <v>0</v>
      </c>
      <c r="CR31" s="26">
        <v>-1</v>
      </c>
      <c r="CS31" s="26">
        <v>2</v>
      </c>
      <c r="CT31" s="26">
        <v>0</v>
      </c>
      <c r="CU31" s="26">
        <v>-2</v>
      </c>
      <c r="CV31" s="26">
        <v>0</v>
      </c>
      <c r="CW31" s="26">
        <v>-5</v>
      </c>
      <c r="CX31" s="26">
        <v>0</v>
      </c>
      <c r="CY31" s="26">
        <v>5</v>
      </c>
      <c r="CZ31" s="26">
        <v>10</v>
      </c>
      <c r="DA31" s="26">
        <v>25</v>
      </c>
      <c r="DB31" s="26">
        <v>25</v>
      </c>
      <c r="DC31" s="28">
        <v>1</v>
      </c>
      <c r="DD31" s="1" t="s">
        <v>354</v>
      </c>
      <c r="DE31" s="26">
        <v>0</v>
      </c>
      <c r="DF31" s="1">
        <v>71</v>
      </c>
      <c r="DG31" s="1">
        <v>67</v>
      </c>
      <c r="DH31" s="1">
        <v>200</v>
      </c>
      <c r="DI31" s="1">
        <v>160</v>
      </c>
      <c r="DJ31" s="1">
        <v>5</v>
      </c>
      <c r="DK31" s="29" t="s">
        <v>378</v>
      </c>
      <c r="DM31" s="16">
        <v>27</v>
      </c>
      <c r="DN31" s="35">
        <f>ROUND(DN33-2/6,1)</f>
        <v>-4.3</v>
      </c>
      <c r="DQ31" s="21" t="s">
        <v>643</v>
      </c>
      <c r="DR31" s="1">
        <v>4</v>
      </c>
      <c r="DS31" s="1">
        <v>40</v>
      </c>
      <c r="DT31" s="1" t="s">
        <v>94</v>
      </c>
      <c r="DU31" s="1" t="s">
        <v>94</v>
      </c>
      <c r="DV31" t="s">
        <v>420</v>
      </c>
      <c r="DW31" s="1">
        <v>1</v>
      </c>
      <c r="DX31" s="22" t="s">
        <v>636</v>
      </c>
      <c r="DZ31" s="21" t="s">
        <v>445</v>
      </c>
      <c r="EA31">
        <v>8</v>
      </c>
      <c r="EB31" s="56">
        <v>0.03</v>
      </c>
      <c r="EC31" s="57">
        <v>55</v>
      </c>
      <c r="ED31" s="51">
        <v>-13</v>
      </c>
      <c r="EE31" s="58">
        <v>-25</v>
      </c>
      <c r="EF31" s="58">
        <v>0</v>
      </c>
      <c r="EG31" s="771"/>
      <c r="FL31" s="128" t="s">
        <v>873</v>
      </c>
      <c r="FM31" s="1">
        <v>4</v>
      </c>
      <c r="FN31" s="1"/>
      <c r="FO31" s="1" t="s">
        <v>846</v>
      </c>
      <c r="FP31" s="11" t="s">
        <v>846</v>
      </c>
      <c r="FS31" s="260" t="e">
        <f t="shared" ref="FS31:FT40" si="3">IF(VLOOKUP(FS$30,Table_Fighting_Styles,$FQ4+2,FALSE)="","",VLOOKUP(FS$30,Table_Fighting_Styles,$FQ4+2,FALSE))</f>
        <v>#N/A</v>
      </c>
      <c r="FT31" s="260" t="e">
        <f t="shared" si="3"/>
        <v>#N/A</v>
      </c>
    </row>
    <row r="32" spans="1:187" ht="15" customHeight="1" thickBot="1" x14ac:dyDescent="0.3">
      <c r="A32" s="1">
        <v>28</v>
      </c>
      <c r="B32" s="1">
        <f t="shared" si="2"/>
        <v>96</v>
      </c>
      <c r="CK32" s="21" t="s">
        <v>345</v>
      </c>
      <c r="CL32" s="26">
        <v>3</v>
      </c>
      <c r="CM32" s="26">
        <v>2</v>
      </c>
      <c r="CN32" s="26">
        <v>3</v>
      </c>
      <c r="CO32" s="26">
        <v>-2</v>
      </c>
      <c r="CP32" s="26">
        <v>1</v>
      </c>
      <c r="CQ32" s="26">
        <v>-1</v>
      </c>
      <c r="CR32" s="26">
        <v>-1</v>
      </c>
      <c r="CS32" s="26">
        <v>0</v>
      </c>
      <c r="CT32" s="26">
        <v>-1</v>
      </c>
      <c r="CU32" s="26">
        <v>1</v>
      </c>
      <c r="CV32" s="26">
        <v>1</v>
      </c>
      <c r="CW32" s="26">
        <v>5</v>
      </c>
      <c r="CX32" s="26">
        <v>0</v>
      </c>
      <c r="CY32" s="26">
        <v>0</v>
      </c>
      <c r="CZ32" s="26">
        <v>10</v>
      </c>
      <c r="DA32" s="26">
        <v>10</v>
      </c>
      <c r="DB32" s="26">
        <v>25</v>
      </c>
      <c r="DC32" s="28">
        <v>1</v>
      </c>
      <c r="DD32" s="1" t="s">
        <v>354</v>
      </c>
      <c r="DE32" s="26">
        <v>-3</v>
      </c>
      <c r="DF32" s="1">
        <v>54</v>
      </c>
      <c r="DG32" s="1">
        <v>51</v>
      </c>
      <c r="DH32" s="1">
        <v>95</v>
      </c>
      <c r="DI32" s="1">
        <v>85</v>
      </c>
      <c r="DJ32" s="1">
        <v>3</v>
      </c>
      <c r="DK32" s="29" t="s">
        <v>379</v>
      </c>
      <c r="DM32" s="16">
        <v>28</v>
      </c>
      <c r="DN32" s="35">
        <f>ROUND(DN33-1/6,1)</f>
        <v>-4.2</v>
      </c>
      <c r="DQ32" s="21" t="s">
        <v>662</v>
      </c>
      <c r="DR32" s="1">
        <v>8</v>
      </c>
      <c r="DS32" s="1">
        <v>50</v>
      </c>
      <c r="DT32" s="1" t="s">
        <v>94</v>
      </c>
      <c r="DU32" s="1" t="s">
        <v>94</v>
      </c>
      <c r="DV32" t="s">
        <v>685</v>
      </c>
      <c r="DW32" s="1">
        <v>1</v>
      </c>
      <c r="DX32" s="22" t="s">
        <v>482</v>
      </c>
      <c r="DZ32" s="21" t="s">
        <v>446</v>
      </c>
      <c r="EA32">
        <v>9</v>
      </c>
      <c r="EB32" s="56">
        <v>0.03</v>
      </c>
      <c r="EC32" s="57">
        <v>70</v>
      </c>
      <c r="ED32" s="51">
        <v>-14</v>
      </c>
      <c r="EE32" s="58">
        <v>-30</v>
      </c>
      <c r="EF32" s="58">
        <v>0</v>
      </c>
      <c r="EG32" s="771"/>
      <c r="FL32" s="128" t="s">
        <v>874</v>
      </c>
      <c r="FM32" s="1">
        <v>6</v>
      </c>
      <c r="FN32" s="1"/>
      <c r="FO32" s="1"/>
      <c r="FP32" s="11" t="s">
        <v>846</v>
      </c>
      <c r="FS32" s="260" t="e">
        <f t="shared" si="3"/>
        <v>#N/A</v>
      </c>
      <c r="FT32" s="260" t="e">
        <f t="shared" si="3"/>
        <v>#N/A</v>
      </c>
    </row>
    <row r="33" spans="1:176" ht="15" customHeight="1" thickBot="1" x14ac:dyDescent="0.3">
      <c r="A33" s="1">
        <v>29</v>
      </c>
      <c r="B33" s="1">
        <f t="shared" si="2"/>
        <v>98</v>
      </c>
      <c r="J33" s="18" t="s">
        <v>427</v>
      </c>
      <c r="K33" s="20"/>
      <c r="CK33" s="21" t="s">
        <v>346</v>
      </c>
      <c r="CL33" s="26">
        <v>0</v>
      </c>
      <c r="CM33" s="26">
        <v>1</v>
      </c>
      <c r="CN33" s="26">
        <v>2</v>
      </c>
      <c r="CO33" s="26">
        <v>-3</v>
      </c>
      <c r="CP33" s="26">
        <v>2</v>
      </c>
      <c r="CQ33" s="26">
        <v>0</v>
      </c>
      <c r="CR33" s="26">
        <v>-1</v>
      </c>
      <c r="CS33" s="26">
        <v>0</v>
      </c>
      <c r="CT33" s="26">
        <v>0</v>
      </c>
      <c r="CU33" s="26">
        <v>-2</v>
      </c>
      <c r="CV33" s="26">
        <v>2</v>
      </c>
      <c r="CW33" s="26">
        <v>0</v>
      </c>
      <c r="CX33" s="26">
        <v>0</v>
      </c>
      <c r="CY33" s="26">
        <v>0</v>
      </c>
      <c r="CZ33" s="26">
        <v>0</v>
      </c>
      <c r="DA33" s="26">
        <v>10</v>
      </c>
      <c r="DB33" s="26">
        <v>25</v>
      </c>
      <c r="DC33" s="28">
        <v>1</v>
      </c>
      <c r="DD33" s="1" t="s">
        <v>354</v>
      </c>
      <c r="DE33" s="26">
        <v>0</v>
      </c>
      <c r="DF33" s="1">
        <v>73</v>
      </c>
      <c r="DG33" s="1">
        <v>68</v>
      </c>
      <c r="DH33" s="1">
        <v>200</v>
      </c>
      <c r="DI33" s="1">
        <v>166</v>
      </c>
      <c r="DJ33" s="1">
        <v>6</v>
      </c>
      <c r="DK33" s="29" t="s">
        <v>380</v>
      </c>
      <c r="DM33" s="16">
        <v>29</v>
      </c>
      <c r="DN33" s="35">
        <v>-4</v>
      </c>
      <c r="DQ33" s="21" t="s">
        <v>630</v>
      </c>
      <c r="DR33" s="1">
        <v>9</v>
      </c>
      <c r="DS33" s="1">
        <v>55</v>
      </c>
      <c r="DT33" s="1" t="s">
        <v>94</v>
      </c>
      <c r="DU33" s="1" t="s">
        <v>94</v>
      </c>
      <c r="DV33" t="s">
        <v>416</v>
      </c>
      <c r="DW33" s="1">
        <v>-1</v>
      </c>
      <c r="DX33" s="22" t="s">
        <v>631</v>
      </c>
      <c r="DZ33" s="23" t="s">
        <v>447</v>
      </c>
      <c r="EA33" s="45">
        <v>10</v>
      </c>
      <c r="EB33" s="59">
        <v>0.03</v>
      </c>
      <c r="EC33" s="60">
        <v>75</v>
      </c>
      <c r="ED33" s="61">
        <v>-15</v>
      </c>
      <c r="EE33" s="62">
        <v>-30</v>
      </c>
      <c r="EF33" s="62">
        <v>0</v>
      </c>
      <c r="EG33" s="772"/>
      <c r="FL33" s="128" t="s">
        <v>875</v>
      </c>
      <c r="FM33" s="1">
        <v>6</v>
      </c>
      <c r="FN33" s="1" t="s">
        <v>846</v>
      </c>
      <c r="FO33" s="1"/>
      <c r="FP33" s="11" t="s">
        <v>846</v>
      </c>
      <c r="FS33" s="260" t="e">
        <f t="shared" si="3"/>
        <v>#N/A</v>
      </c>
      <c r="FT33" s="260" t="e">
        <f t="shared" si="3"/>
        <v>#N/A</v>
      </c>
    </row>
    <row r="34" spans="1:176" ht="15" customHeight="1" x14ac:dyDescent="0.25">
      <c r="A34" s="1">
        <v>30</v>
      </c>
      <c r="B34" s="1">
        <f t="shared" si="2"/>
        <v>100</v>
      </c>
      <c r="J34" s="21" t="s">
        <v>428</v>
      </c>
      <c r="K34" s="22">
        <v>1</v>
      </c>
      <c r="CK34" s="21" t="s">
        <v>347</v>
      </c>
      <c r="CL34" s="26">
        <v>2</v>
      </c>
      <c r="CM34" s="26">
        <v>0</v>
      </c>
      <c r="CN34" s="26">
        <v>3</v>
      </c>
      <c r="CO34" s="26">
        <v>0</v>
      </c>
      <c r="CP34" s="26">
        <v>0</v>
      </c>
      <c r="CQ34" s="26">
        <v>-2</v>
      </c>
      <c r="CR34" s="26">
        <v>-2</v>
      </c>
      <c r="CS34" s="26">
        <v>0</v>
      </c>
      <c r="CT34" s="26">
        <v>0</v>
      </c>
      <c r="CU34" s="26">
        <v>-2</v>
      </c>
      <c r="CV34" s="26">
        <v>2</v>
      </c>
      <c r="CW34" s="26">
        <v>0</v>
      </c>
      <c r="CX34" s="26">
        <v>-5</v>
      </c>
      <c r="CY34" s="26">
        <v>0</v>
      </c>
      <c r="CZ34" s="26">
        <v>0</v>
      </c>
      <c r="DA34" s="26">
        <v>10</v>
      </c>
      <c r="DB34" s="26">
        <v>25</v>
      </c>
      <c r="DC34" s="28">
        <v>1</v>
      </c>
      <c r="DD34" s="1" t="s">
        <v>354</v>
      </c>
      <c r="DE34" s="26">
        <v>0</v>
      </c>
      <c r="DF34" s="1">
        <v>73</v>
      </c>
      <c r="DG34" s="1">
        <v>73</v>
      </c>
      <c r="DH34" s="1">
        <v>200</v>
      </c>
      <c r="DI34" s="1">
        <v>200</v>
      </c>
      <c r="DJ34" s="1">
        <v>6</v>
      </c>
      <c r="DK34" s="29" t="s">
        <v>381</v>
      </c>
      <c r="DM34" s="16">
        <v>30</v>
      </c>
      <c r="DN34" s="35">
        <f>ROUND(DN39-5/6,1)</f>
        <v>-3.8</v>
      </c>
      <c r="DQ34" s="21" t="s">
        <v>637</v>
      </c>
      <c r="DR34" s="1">
        <v>3</v>
      </c>
      <c r="DS34" s="1">
        <v>55</v>
      </c>
      <c r="DT34" s="1" t="s">
        <v>94</v>
      </c>
      <c r="DU34" s="1" t="s">
        <v>94</v>
      </c>
      <c r="DV34" t="s">
        <v>417</v>
      </c>
      <c r="DW34" s="1">
        <v>-1</v>
      </c>
      <c r="DX34" s="22" t="s">
        <v>638</v>
      </c>
      <c r="DZ34" s="18" t="s">
        <v>401</v>
      </c>
      <c r="EA34" s="19">
        <v>1</v>
      </c>
      <c r="EB34" s="53">
        <v>0</v>
      </c>
      <c r="EC34" s="54">
        <v>0</v>
      </c>
      <c r="ED34" s="55">
        <v>0</v>
      </c>
      <c r="EE34" s="55">
        <v>0</v>
      </c>
      <c r="EF34" s="55">
        <v>0</v>
      </c>
      <c r="EG34" s="770" t="s">
        <v>451</v>
      </c>
      <c r="FL34" s="128" t="s">
        <v>876</v>
      </c>
      <c r="FM34" s="1">
        <v>6</v>
      </c>
      <c r="FN34" s="1" t="s">
        <v>846</v>
      </c>
      <c r="FO34" s="1"/>
      <c r="FP34" s="11"/>
      <c r="FS34" s="260" t="e">
        <f t="shared" si="3"/>
        <v>#N/A</v>
      </c>
      <c r="FT34" s="260" t="e">
        <f t="shared" si="3"/>
        <v>#N/A</v>
      </c>
    </row>
    <row r="35" spans="1:176" ht="15" customHeight="1" x14ac:dyDescent="0.25">
      <c r="J35" s="21" t="s">
        <v>429</v>
      </c>
      <c r="K35" s="22">
        <v>2</v>
      </c>
      <c r="CK35" s="21" t="s">
        <v>348</v>
      </c>
      <c r="CL35" s="26">
        <v>0</v>
      </c>
      <c r="CM35" s="26">
        <v>2</v>
      </c>
      <c r="CN35" s="26">
        <v>0</v>
      </c>
      <c r="CO35" s="26">
        <v>1</v>
      </c>
      <c r="CP35" s="26">
        <v>0</v>
      </c>
      <c r="CQ35" s="26">
        <v>0</v>
      </c>
      <c r="CR35" s="26">
        <v>1</v>
      </c>
      <c r="CS35" s="26">
        <v>2</v>
      </c>
      <c r="CT35" s="26">
        <v>0</v>
      </c>
      <c r="CU35" s="26">
        <v>0</v>
      </c>
      <c r="CV35" s="26">
        <v>-1</v>
      </c>
      <c r="CW35" s="26">
        <v>0</v>
      </c>
      <c r="CX35" s="26">
        <v>0</v>
      </c>
      <c r="CY35" s="26">
        <v>0</v>
      </c>
      <c r="CZ35" s="26">
        <v>0</v>
      </c>
      <c r="DA35" s="26">
        <v>0</v>
      </c>
      <c r="DB35" s="26">
        <v>20</v>
      </c>
      <c r="DC35" s="28">
        <v>2</v>
      </c>
      <c r="DD35" s="1" t="s">
        <v>354</v>
      </c>
      <c r="DE35" s="26">
        <v>6</v>
      </c>
      <c r="DF35" s="1">
        <v>67</v>
      </c>
      <c r="DG35" s="1">
        <v>67</v>
      </c>
      <c r="DH35" s="1">
        <v>120</v>
      </c>
      <c r="DI35" s="1">
        <v>120</v>
      </c>
      <c r="DJ35" s="1">
        <v>3</v>
      </c>
      <c r="DK35" s="29" t="s">
        <v>382</v>
      </c>
      <c r="DM35" s="16">
        <v>31</v>
      </c>
      <c r="DN35" s="35">
        <f>ROUND(DN39-4/6,1)</f>
        <v>-3.7</v>
      </c>
      <c r="DQ35" s="21" t="s">
        <v>639</v>
      </c>
      <c r="DR35" s="1">
        <v>3</v>
      </c>
      <c r="DS35" s="1">
        <v>40</v>
      </c>
      <c r="DT35" s="1" t="s">
        <v>94</v>
      </c>
      <c r="DU35" s="1" t="s">
        <v>94</v>
      </c>
      <c r="DV35" t="s">
        <v>417</v>
      </c>
      <c r="DW35" s="1">
        <v>-1</v>
      </c>
      <c r="DX35" s="22" t="s">
        <v>640</v>
      </c>
      <c r="DZ35" s="21" t="s">
        <v>440</v>
      </c>
      <c r="EA35">
        <v>2</v>
      </c>
      <c r="EB35" s="56">
        <v>0.02</v>
      </c>
      <c r="EC35" s="57">
        <v>30</v>
      </c>
      <c r="ED35" s="51">
        <v>-3</v>
      </c>
      <c r="EE35" s="58">
        <v>0</v>
      </c>
      <c r="EF35" s="58">
        <v>0</v>
      </c>
      <c r="EG35" s="771"/>
      <c r="FL35" s="128" t="s">
        <v>877</v>
      </c>
      <c r="FM35" s="1">
        <v>3</v>
      </c>
      <c r="FN35" s="1" t="s">
        <v>846</v>
      </c>
      <c r="FO35" s="1"/>
      <c r="FP35" s="11"/>
      <c r="FS35" s="260" t="e">
        <f t="shared" si="3"/>
        <v>#N/A</v>
      </c>
      <c r="FT35" s="260" t="e">
        <f t="shared" si="3"/>
        <v>#N/A</v>
      </c>
    </row>
    <row r="36" spans="1:176" ht="15" customHeight="1" x14ac:dyDescent="0.25">
      <c r="J36" s="21" t="s">
        <v>407</v>
      </c>
      <c r="K36" s="22">
        <v>3</v>
      </c>
      <c r="CK36" s="21" t="s">
        <v>349</v>
      </c>
      <c r="CL36" s="26">
        <v>29</v>
      </c>
      <c r="CM36" s="26">
        <v>-1</v>
      </c>
      <c r="CN36" s="26">
        <v>2</v>
      </c>
      <c r="CO36" s="26">
        <v>-5</v>
      </c>
      <c r="CP36" s="26">
        <v>0</v>
      </c>
      <c r="CQ36" s="26">
        <v>-3</v>
      </c>
      <c r="CR36" s="26">
        <v>0</v>
      </c>
      <c r="CS36" s="26">
        <v>0</v>
      </c>
      <c r="CT36" s="26">
        <v>-3</v>
      </c>
      <c r="CU36" s="26">
        <v>-3</v>
      </c>
      <c r="CV36" s="26">
        <v>5</v>
      </c>
      <c r="CW36" s="26">
        <v>-10</v>
      </c>
      <c r="CX36" s="26">
        <v>-10</v>
      </c>
      <c r="CY36" s="26">
        <v>-10</v>
      </c>
      <c r="CZ36" s="26">
        <v>15</v>
      </c>
      <c r="DA36" s="26">
        <v>10</v>
      </c>
      <c r="DB36" s="26">
        <v>25</v>
      </c>
      <c r="DC36" s="28">
        <v>1</v>
      </c>
      <c r="DD36" s="1" t="s">
        <v>362</v>
      </c>
      <c r="DE36" s="26">
        <v>6</v>
      </c>
      <c r="DF36" s="1">
        <v>108</v>
      </c>
      <c r="DG36" s="1">
        <v>108</v>
      </c>
      <c r="DH36" s="1">
        <v>800</v>
      </c>
      <c r="DI36" s="1">
        <v>800</v>
      </c>
      <c r="DJ36" s="1">
        <v>8</v>
      </c>
      <c r="DK36" s="29" t="s">
        <v>383</v>
      </c>
      <c r="DM36" s="16">
        <v>32</v>
      </c>
      <c r="DN36" s="35">
        <f>ROUND(DN39-3/6,1)</f>
        <v>-3.5</v>
      </c>
      <c r="DQ36" s="21" t="s">
        <v>642</v>
      </c>
      <c r="DR36" s="1">
        <v>5</v>
      </c>
      <c r="DS36" s="1">
        <v>60</v>
      </c>
      <c r="DT36" s="1" t="s">
        <v>94</v>
      </c>
      <c r="DU36" s="1" t="s">
        <v>94</v>
      </c>
      <c r="DV36" t="s">
        <v>420</v>
      </c>
      <c r="DW36" s="1">
        <v>1</v>
      </c>
      <c r="DX36" s="22" t="s">
        <v>634</v>
      </c>
      <c r="DZ36" s="21" t="s">
        <v>441</v>
      </c>
      <c r="EA36">
        <v>3</v>
      </c>
      <c r="EB36" s="56">
        <v>0.02</v>
      </c>
      <c r="EC36" s="57">
        <v>30</v>
      </c>
      <c r="ED36" s="51">
        <v>-5</v>
      </c>
      <c r="EE36" s="58">
        <v>0</v>
      </c>
      <c r="EF36" s="58">
        <v>0</v>
      </c>
      <c r="EG36" s="771"/>
      <c r="FL36" s="128" t="s">
        <v>878</v>
      </c>
      <c r="FM36" s="1">
        <v>4</v>
      </c>
      <c r="FN36" s="1"/>
      <c r="FO36" s="1" t="s">
        <v>846</v>
      </c>
      <c r="FP36" s="11" t="s">
        <v>846</v>
      </c>
      <c r="FS36" s="260" t="e">
        <f t="shared" si="3"/>
        <v>#N/A</v>
      </c>
      <c r="FT36" s="260" t="e">
        <f t="shared" si="3"/>
        <v>#N/A</v>
      </c>
    </row>
    <row r="37" spans="1:176" ht="15" customHeight="1" thickBot="1" x14ac:dyDescent="0.3">
      <c r="J37" s="21" t="s">
        <v>430</v>
      </c>
      <c r="K37" s="22">
        <v>4</v>
      </c>
      <c r="CK37" s="23" t="s">
        <v>350</v>
      </c>
      <c r="CL37" s="27">
        <v>0</v>
      </c>
      <c r="CM37" s="27">
        <v>0</v>
      </c>
      <c r="CN37" s="27">
        <v>3</v>
      </c>
      <c r="CO37" s="27">
        <v>-3</v>
      </c>
      <c r="CP37" s="27">
        <v>1</v>
      </c>
      <c r="CQ37" s="27">
        <v>0</v>
      </c>
      <c r="CR37" s="27">
        <v>0</v>
      </c>
      <c r="CS37" s="27">
        <v>2</v>
      </c>
      <c r="CT37" s="27">
        <v>-1</v>
      </c>
      <c r="CU37" s="27">
        <v>-4</v>
      </c>
      <c r="CV37" s="27">
        <v>2</v>
      </c>
      <c r="CW37" s="27">
        <v>0</v>
      </c>
      <c r="CX37" s="27">
        <v>0</v>
      </c>
      <c r="CY37" s="27">
        <v>0</v>
      </c>
      <c r="CZ37" s="27">
        <v>0</v>
      </c>
      <c r="DA37" s="27">
        <v>10</v>
      </c>
      <c r="DB37" s="27">
        <v>30</v>
      </c>
      <c r="DC37" s="30">
        <v>1</v>
      </c>
      <c r="DD37" s="24" t="s">
        <v>354</v>
      </c>
      <c r="DE37" s="27">
        <v>1</v>
      </c>
      <c r="DF37" s="24">
        <v>75</v>
      </c>
      <c r="DG37" s="24">
        <v>69</v>
      </c>
      <c r="DH37" s="24">
        <v>225</v>
      </c>
      <c r="DI37" s="24">
        <v>190</v>
      </c>
      <c r="DJ37" s="24">
        <v>6</v>
      </c>
      <c r="DK37" s="31" t="s">
        <v>384</v>
      </c>
      <c r="DM37" s="16">
        <v>33</v>
      </c>
      <c r="DN37" s="35">
        <f>ROUND(DN39-2/6,1)</f>
        <v>-3.3</v>
      </c>
      <c r="DQ37" s="21" t="s">
        <v>665</v>
      </c>
      <c r="DR37" s="1">
        <v>5</v>
      </c>
      <c r="DS37" s="1">
        <v>85</v>
      </c>
      <c r="DT37" s="1" t="s">
        <v>94</v>
      </c>
      <c r="DU37" s="1" t="s">
        <v>679</v>
      </c>
      <c r="DV37" t="s">
        <v>423</v>
      </c>
      <c r="DW37" s="1">
        <v>0</v>
      </c>
      <c r="DX37" s="22" t="s">
        <v>665</v>
      </c>
      <c r="DZ37" s="21" t="s">
        <v>442</v>
      </c>
      <c r="EA37">
        <v>4</v>
      </c>
      <c r="EB37" s="56">
        <v>0.03</v>
      </c>
      <c r="EC37" s="57">
        <v>35</v>
      </c>
      <c r="ED37" s="51">
        <v>-12</v>
      </c>
      <c r="EE37" s="58">
        <v>0</v>
      </c>
      <c r="EF37" s="58">
        <v>0</v>
      </c>
      <c r="EG37" s="771"/>
      <c r="FL37" s="128" t="s">
        <v>879</v>
      </c>
      <c r="FM37" s="1">
        <v>3</v>
      </c>
      <c r="FN37" s="1" t="s">
        <v>846</v>
      </c>
      <c r="FO37" s="1"/>
      <c r="FP37" s="11" t="s">
        <v>846</v>
      </c>
      <c r="FS37" s="260" t="e">
        <f t="shared" si="3"/>
        <v>#N/A</v>
      </c>
      <c r="FT37" s="260" t="e">
        <f t="shared" si="3"/>
        <v>#N/A</v>
      </c>
    </row>
    <row r="38" spans="1:176" x14ac:dyDescent="0.25">
      <c r="J38" s="21" t="s">
        <v>431</v>
      </c>
      <c r="K38" s="22">
        <v>5</v>
      </c>
      <c r="DM38" s="16">
        <v>34</v>
      </c>
      <c r="DN38" s="35">
        <f>ROUND(DN39-1/6,1)</f>
        <v>-3.2</v>
      </c>
      <c r="DQ38" s="21" t="s">
        <v>627</v>
      </c>
      <c r="DR38" s="1">
        <v>5</v>
      </c>
      <c r="DS38" s="1">
        <v>80</v>
      </c>
      <c r="DT38" s="1" t="s">
        <v>94</v>
      </c>
      <c r="DU38" s="1" t="s">
        <v>94</v>
      </c>
      <c r="DV38" t="s">
        <v>418</v>
      </c>
      <c r="DW38" s="1">
        <v>1</v>
      </c>
      <c r="DX38" s="22" t="s">
        <v>623</v>
      </c>
      <c r="DZ38" s="21" t="s">
        <v>443</v>
      </c>
      <c r="EA38">
        <v>5</v>
      </c>
      <c r="EB38" s="56">
        <v>0.03</v>
      </c>
      <c r="EC38" s="57">
        <v>40</v>
      </c>
      <c r="ED38" s="51">
        <v>-15</v>
      </c>
      <c r="EE38" s="58">
        <v>0</v>
      </c>
      <c r="EF38" s="58">
        <v>0</v>
      </c>
      <c r="EG38" s="771"/>
      <c r="FL38" s="128" t="s">
        <v>880</v>
      </c>
      <c r="FM38" s="1">
        <v>4</v>
      </c>
      <c r="FN38" s="1"/>
      <c r="FO38" s="1" t="s">
        <v>846</v>
      </c>
      <c r="FP38" s="11" t="s">
        <v>846</v>
      </c>
      <c r="FS38" s="260" t="e">
        <f t="shared" si="3"/>
        <v>#N/A</v>
      </c>
      <c r="FT38" s="260" t="e">
        <f t="shared" si="3"/>
        <v>#N/A</v>
      </c>
    </row>
    <row r="39" spans="1:176" x14ac:dyDescent="0.25">
      <c r="J39" s="21" t="s">
        <v>432</v>
      </c>
      <c r="K39" s="22">
        <v>6</v>
      </c>
      <c r="DM39" s="16">
        <v>35</v>
      </c>
      <c r="DN39" s="35">
        <v>-3</v>
      </c>
      <c r="DQ39" s="21" t="s">
        <v>654</v>
      </c>
      <c r="DR39" s="1">
        <v>4</v>
      </c>
      <c r="DS39" s="1">
        <v>40</v>
      </c>
      <c r="DT39" s="1" t="s">
        <v>94</v>
      </c>
      <c r="DU39" s="1" t="s">
        <v>94</v>
      </c>
      <c r="DV39" t="s">
        <v>421</v>
      </c>
      <c r="DW39" s="1">
        <v>1</v>
      </c>
      <c r="DX39" s="22" t="s">
        <v>53</v>
      </c>
      <c r="DZ39" s="21" t="s">
        <v>410</v>
      </c>
      <c r="EA39">
        <v>6</v>
      </c>
      <c r="EB39" s="56">
        <v>0.03</v>
      </c>
      <c r="EC39" s="57">
        <v>45</v>
      </c>
      <c r="ED39" s="51">
        <v>-16</v>
      </c>
      <c r="EE39" s="58">
        <v>0</v>
      </c>
      <c r="EF39" s="58">
        <v>0</v>
      </c>
      <c r="EG39" s="771"/>
      <c r="FL39" s="128" t="s">
        <v>881</v>
      </c>
      <c r="FM39" s="1">
        <v>4</v>
      </c>
      <c r="FN39" s="1"/>
      <c r="FO39" s="1" t="s">
        <v>846</v>
      </c>
      <c r="FP39" s="11"/>
      <c r="FS39" s="260" t="e">
        <f t="shared" si="3"/>
        <v>#N/A</v>
      </c>
      <c r="FT39" s="260" t="e">
        <f t="shared" si="3"/>
        <v>#N/A</v>
      </c>
    </row>
    <row r="40" spans="1:176" ht="15.75" thickBot="1" x14ac:dyDescent="0.3">
      <c r="J40" s="21" t="s">
        <v>433</v>
      </c>
      <c r="K40" s="22">
        <v>7</v>
      </c>
      <c r="DM40" s="16">
        <v>36</v>
      </c>
      <c r="DN40" s="35">
        <f>ROUND(DN45-5/6,1)</f>
        <v>-2.8</v>
      </c>
      <c r="DQ40" s="21" t="s">
        <v>628</v>
      </c>
      <c r="DR40" s="1">
        <v>5</v>
      </c>
      <c r="DS40" s="1">
        <v>75</v>
      </c>
      <c r="DT40" s="1" t="s">
        <v>94</v>
      </c>
      <c r="DU40" s="1" t="s">
        <v>94</v>
      </c>
      <c r="DV40" t="s">
        <v>418</v>
      </c>
      <c r="DW40" s="1">
        <v>1</v>
      </c>
      <c r="DX40" s="22" t="s">
        <v>619</v>
      </c>
      <c r="DZ40" s="21" t="s">
        <v>444</v>
      </c>
      <c r="EA40">
        <v>7</v>
      </c>
      <c r="EB40" s="56">
        <v>0.04</v>
      </c>
      <c r="EC40" s="57">
        <v>50</v>
      </c>
      <c r="ED40" s="51">
        <v>-17</v>
      </c>
      <c r="EE40" s="58">
        <v>0</v>
      </c>
      <c r="EF40" s="58">
        <v>0</v>
      </c>
      <c r="EG40" s="771"/>
      <c r="FL40" s="128" t="s">
        <v>882</v>
      </c>
      <c r="FM40" s="1">
        <v>4</v>
      </c>
      <c r="FN40" s="1"/>
      <c r="FO40" s="1" t="s">
        <v>846</v>
      </c>
      <c r="FP40" s="11"/>
      <c r="FS40" s="261" t="e">
        <f t="shared" si="3"/>
        <v>#N/A</v>
      </c>
      <c r="FT40" s="261" t="e">
        <f t="shared" si="3"/>
        <v>#N/A</v>
      </c>
    </row>
    <row r="41" spans="1:176" x14ac:dyDescent="0.25">
      <c r="J41" s="21" t="s">
        <v>434</v>
      </c>
      <c r="K41" s="22">
        <v>8</v>
      </c>
      <c r="DM41" s="16">
        <v>37</v>
      </c>
      <c r="DN41" s="35">
        <f>ROUND(DN45-4/6,1)</f>
        <v>-2.7</v>
      </c>
      <c r="DQ41" s="21" t="s">
        <v>689</v>
      </c>
      <c r="DR41" s="1">
        <v>2</v>
      </c>
      <c r="DS41" s="1" t="s">
        <v>94</v>
      </c>
      <c r="DT41" s="1" t="s">
        <v>94</v>
      </c>
      <c r="DU41" s="1" t="s">
        <v>94</v>
      </c>
      <c r="DV41" s="2" t="s">
        <v>428</v>
      </c>
      <c r="DW41" s="1">
        <v>0</v>
      </c>
      <c r="DX41" s="127" t="s">
        <v>693</v>
      </c>
      <c r="DZ41" s="21" t="s">
        <v>445</v>
      </c>
      <c r="EA41">
        <v>8</v>
      </c>
      <c r="EB41" s="56">
        <v>0.04</v>
      </c>
      <c r="EC41" s="57">
        <v>55</v>
      </c>
      <c r="ED41" s="51">
        <v>-18</v>
      </c>
      <c r="EE41" s="58">
        <v>0</v>
      </c>
      <c r="EF41" s="58">
        <v>0</v>
      </c>
      <c r="EG41" s="771"/>
      <c r="FL41" s="128" t="s">
        <v>883</v>
      </c>
      <c r="FM41" s="1">
        <v>4</v>
      </c>
      <c r="FN41" s="1" t="s">
        <v>846</v>
      </c>
      <c r="FO41" s="1" t="s">
        <v>846</v>
      </c>
      <c r="FP41" s="11" t="s">
        <v>846</v>
      </c>
    </row>
    <row r="42" spans="1:176" ht="15" customHeight="1" x14ac:dyDescent="0.25">
      <c r="J42" s="21" t="s">
        <v>435</v>
      </c>
      <c r="K42" s="22">
        <v>9</v>
      </c>
      <c r="DM42" s="16">
        <v>38</v>
      </c>
      <c r="DN42" s="35">
        <f>ROUND(DN45-3/6,1)</f>
        <v>-2.5</v>
      </c>
      <c r="DQ42" s="21" t="s">
        <v>690</v>
      </c>
      <c r="DR42" s="1">
        <v>2</v>
      </c>
      <c r="DS42" s="1" t="s">
        <v>94</v>
      </c>
      <c r="DT42" s="1" t="s">
        <v>94</v>
      </c>
      <c r="DU42" s="1" t="s">
        <v>94</v>
      </c>
      <c r="DV42" s="2" t="s">
        <v>692</v>
      </c>
      <c r="DW42" s="1">
        <v>0</v>
      </c>
      <c r="DX42" s="127" t="s">
        <v>694</v>
      </c>
      <c r="DZ42" s="21" t="s">
        <v>446</v>
      </c>
      <c r="EA42">
        <v>9</v>
      </c>
      <c r="EB42" s="56">
        <v>0.04</v>
      </c>
      <c r="EC42" s="57">
        <v>70</v>
      </c>
      <c r="ED42" s="51">
        <v>-19</v>
      </c>
      <c r="EE42" s="58">
        <v>0</v>
      </c>
      <c r="EF42" s="58">
        <v>0</v>
      </c>
      <c r="EG42" s="771"/>
      <c r="FL42" s="128" t="s">
        <v>884</v>
      </c>
      <c r="FM42" s="1">
        <v>2</v>
      </c>
      <c r="FN42" s="1" t="s">
        <v>846</v>
      </c>
      <c r="FO42" s="1" t="s">
        <v>846</v>
      </c>
      <c r="FP42" s="11" t="s">
        <v>846</v>
      </c>
    </row>
    <row r="43" spans="1:176" ht="15.75" thickBot="1" x14ac:dyDescent="0.3">
      <c r="J43" s="23" t="s">
        <v>436</v>
      </c>
      <c r="K43" s="37">
        <v>10</v>
      </c>
      <c r="DM43" s="16">
        <v>39</v>
      </c>
      <c r="DN43" s="35">
        <f>ROUND(DN45-2/6,1)</f>
        <v>-2.2999999999999998</v>
      </c>
      <c r="DQ43" s="21" t="s">
        <v>691</v>
      </c>
      <c r="DR43" s="1">
        <v>2</v>
      </c>
      <c r="DS43" s="1" t="s">
        <v>94</v>
      </c>
      <c r="DT43" s="1" t="s">
        <v>94</v>
      </c>
      <c r="DU43" s="1" t="s">
        <v>94</v>
      </c>
      <c r="DV43" s="2" t="s">
        <v>407</v>
      </c>
      <c r="DW43" s="1">
        <v>0</v>
      </c>
      <c r="DX43" s="127" t="s">
        <v>482</v>
      </c>
      <c r="DZ43" s="23" t="s">
        <v>447</v>
      </c>
      <c r="EA43" s="45">
        <v>10</v>
      </c>
      <c r="EB43" s="59">
        <v>0.04</v>
      </c>
      <c r="EC43" s="60">
        <v>75</v>
      </c>
      <c r="ED43" s="61">
        <v>-20</v>
      </c>
      <c r="EE43" s="62">
        <v>0</v>
      </c>
      <c r="EF43" s="62">
        <v>0</v>
      </c>
      <c r="EG43" s="772"/>
      <c r="FL43" s="128" t="s">
        <v>885</v>
      </c>
      <c r="FM43" s="1">
        <v>5</v>
      </c>
      <c r="FN43" s="1" t="s">
        <v>846</v>
      </c>
      <c r="FO43" s="1" t="s">
        <v>846</v>
      </c>
      <c r="FP43" s="11" t="s">
        <v>846</v>
      </c>
    </row>
    <row r="44" spans="1:176" x14ac:dyDescent="0.25">
      <c r="DM44" s="16">
        <v>40</v>
      </c>
      <c r="DN44" s="35">
        <f>ROUND(DN45-1/6,1)</f>
        <v>-2.2000000000000002</v>
      </c>
      <c r="DQ44" s="21" t="s">
        <v>638</v>
      </c>
      <c r="DR44" s="1">
        <v>4</v>
      </c>
      <c r="DS44" s="1">
        <v>80</v>
      </c>
      <c r="DT44" s="1" t="s">
        <v>94</v>
      </c>
      <c r="DU44" s="1" t="s">
        <v>94</v>
      </c>
      <c r="DV44" t="s">
        <v>417</v>
      </c>
      <c r="DW44" s="1">
        <v>0</v>
      </c>
      <c r="DX44" s="22" t="s">
        <v>638</v>
      </c>
      <c r="FL44" s="128" t="s">
        <v>886</v>
      </c>
      <c r="FM44" s="1">
        <v>6</v>
      </c>
      <c r="FN44" s="1" t="s">
        <v>846</v>
      </c>
      <c r="FO44" s="1" t="s">
        <v>846</v>
      </c>
      <c r="FP44" s="11" t="s">
        <v>846</v>
      </c>
    </row>
    <row r="45" spans="1:176" x14ac:dyDescent="0.25">
      <c r="DM45" s="16">
        <v>41</v>
      </c>
      <c r="DN45" s="35">
        <v>-2</v>
      </c>
      <c r="DQ45" s="21" t="s">
        <v>624</v>
      </c>
      <c r="DR45" s="1">
        <v>3</v>
      </c>
      <c r="DS45" s="1">
        <v>70</v>
      </c>
      <c r="DT45" s="1" t="s">
        <v>94</v>
      </c>
      <c r="DU45" s="1" t="s">
        <v>94</v>
      </c>
      <c r="DV45" t="s">
        <v>415</v>
      </c>
      <c r="DW45" s="1">
        <v>-1</v>
      </c>
      <c r="DX45" s="22" t="s">
        <v>625</v>
      </c>
      <c r="FL45" s="128" t="s">
        <v>887</v>
      </c>
      <c r="FM45" s="1">
        <v>4</v>
      </c>
      <c r="FN45" s="1" t="s">
        <v>846</v>
      </c>
      <c r="FO45" s="1"/>
      <c r="FP45" s="11"/>
    </row>
    <row r="46" spans="1:176" x14ac:dyDescent="0.25">
      <c r="DM46" s="16">
        <v>42</v>
      </c>
      <c r="DN46" s="35">
        <f>ROUND(DN51-5/6,1)</f>
        <v>-1.8</v>
      </c>
      <c r="DQ46" s="21" t="s">
        <v>661</v>
      </c>
      <c r="DR46" s="1">
        <v>7</v>
      </c>
      <c r="DS46" s="1">
        <v>45</v>
      </c>
      <c r="DT46" s="1" t="s">
        <v>94</v>
      </c>
      <c r="DU46" s="1" t="s">
        <v>94</v>
      </c>
      <c r="DV46" t="s">
        <v>685</v>
      </c>
      <c r="DW46" s="1">
        <v>0</v>
      </c>
      <c r="DX46" s="22" t="s">
        <v>482</v>
      </c>
      <c r="FL46" s="128" t="s">
        <v>888</v>
      </c>
      <c r="FM46" s="1">
        <v>4</v>
      </c>
      <c r="FN46" s="1" t="s">
        <v>846</v>
      </c>
      <c r="FO46" s="1"/>
      <c r="FP46" s="11" t="s">
        <v>846</v>
      </c>
    </row>
    <row r="47" spans="1:176" x14ac:dyDescent="0.25">
      <c r="DM47" s="16">
        <v>43</v>
      </c>
      <c r="DN47" s="35">
        <f>ROUND(DN51-4/6,1)</f>
        <v>-1.7</v>
      </c>
      <c r="DQ47" s="21" t="s">
        <v>656</v>
      </c>
      <c r="DR47" s="1">
        <v>4</v>
      </c>
      <c r="DS47" s="1">
        <v>55</v>
      </c>
      <c r="DT47" s="1" t="s">
        <v>94</v>
      </c>
      <c r="DU47" s="1" t="s">
        <v>94</v>
      </c>
      <c r="DV47" t="s">
        <v>53</v>
      </c>
      <c r="DW47" s="1">
        <v>0</v>
      </c>
      <c r="DX47" s="22" t="s">
        <v>53</v>
      </c>
      <c r="FL47" s="128" t="s">
        <v>889</v>
      </c>
      <c r="FM47" s="1">
        <v>4</v>
      </c>
      <c r="FN47" s="1" t="s">
        <v>846</v>
      </c>
      <c r="FO47" s="1" t="s">
        <v>846</v>
      </c>
      <c r="FP47" s="11" t="s">
        <v>846</v>
      </c>
    </row>
    <row r="48" spans="1:176" x14ac:dyDescent="0.25">
      <c r="DM48" s="16">
        <v>44</v>
      </c>
      <c r="DN48" s="35">
        <f>ROUND(DN51-3/6,1)</f>
        <v>-1.5</v>
      </c>
      <c r="DQ48" s="21" t="s">
        <v>652</v>
      </c>
      <c r="DR48" s="1">
        <v>8</v>
      </c>
      <c r="DS48" s="1">
        <v>60</v>
      </c>
      <c r="DT48" s="1" t="s">
        <v>94</v>
      </c>
      <c r="DU48" s="1" t="s">
        <v>94</v>
      </c>
      <c r="DV48" t="s">
        <v>421</v>
      </c>
      <c r="DW48" s="1">
        <v>1</v>
      </c>
      <c r="DX48" s="22" t="s">
        <v>653</v>
      </c>
      <c r="FL48" s="128" t="s">
        <v>890</v>
      </c>
      <c r="FM48" s="1">
        <v>4</v>
      </c>
      <c r="FN48" s="1"/>
      <c r="FO48" s="1" t="s">
        <v>846</v>
      </c>
      <c r="FP48" s="11" t="s">
        <v>846</v>
      </c>
    </row>
    <row r="49" spans="117:172" x14ac:dyDescent="0.25">
      <c r="DM49" s="16">
        <v>45</v>
      </c>
      <c r="DN49" s="35">
        <f>ROUND(DN51-2/6,1)</f>
        <v>-1.3</v>
      </c>
      <c r="DQ49" s="21" t="s">
        <v>645</v>
      </c>
      <c r="DR49" s="1">
        <v>4</v>
      </c>
      <c r="DS49" s="1">
        <v>55</v>
      </c>
      <c r="DT49" s="1" t="s">
        <v>94</v>
      </c>
      <c r="DU49" s="1" t="s">
        <v>94</v>
      </c>
      <c r="DV49" t="s">
        <v>420</v>
      </c>
      <c r="DW49" s="1">
        <v>1</v>
      </c>
      <c r="DX49" s="22" t="s">
        <v>640</v>
      </c>
      <c r="FL49" s="128" t="s">
        <v>891</v>
      </c>
      <c r="FM49" s="1">
        <v>3</v>
      </c>
      <c r="FN49" s="1" t="s">
        <v>846</v>
      </c>
      <c r="FO49" s="1" t="s">
        <v>846</v>
      </c>
      <c r="FP49" s="11" t="s">
        <v>846</v>
      </c>
    </row>
    <row r="50" spans="117:172" x14ac:dyDescent="0.25">
      <c r="DM50" s="16">
        <v>46</v>
      </c>
      <c r="DN50" s="35">
        <f>ROUND(DN51-1/6,1)</f>
        <v>-1.2</v>
      </c>
      <c r="DQ50" s="21" t="s">
        <v>621</v>
      </c>
      <c r="DR50" s="1">
        <v>4</v>
      </c>
      <c r="DS50" s="1">
        <v>85</v>
      </c>
      <c r="DT50" s="1" t="s">
        <v>94</v>
      </c>
      <c r="DU50" s="1" t="s">
        <v>94</v>
      </c>
      <c r="DV50" t="s">
        <v>415</v>
      </c>
      <c r="DW50" s="1">
        <v>0</v>
      </c>
      <c r="DX50" s="22" t="s">
        <v>621</v>
      </c>
      <c r="FL50" s="128" t="s">
        <v>892</v>
      </c>
      <c r="FM50" s="1">
        <v>4</v>
      </c>
      <c r="FN50" s="1" t="s">
        <v>846</v>
      </c>
      <c r="FO50" s="1" t="s">
        <v>846</v>
      </c>
      <c r="FP50" s="11" t="s">
        <v>846</v>
      </c>
    </row>
    <row r="51" spans="117:172" x14ac:dyDescent="0.25">
      <c r="DM51" s="16">
        <v>47</v>
      </c>
      <c r="DN51" s="35">
        <v>-1</v>
      </c>
      <c r="DQ51" s="21" t="s">
        <v>675</v>
      </c>
      <c r="DR51" s="1">
        <v>3</v>
      </c>
      <c r="DS51" s="1">
        <v>70</v>
      </c>
      <c r="DT51" s="1" t="s">
        <v>94</v>
      </c>
      <c r="DU51" s="1" t="s">
        <v>649</v>
      </c>
      <c r="DV51" t="s">
        <v>426</v>
      </c>
      <c r="DW51" s="1">
        <v>0</v>
      </c>
      <c r="DX51" s="22" t="s">
        <v>675</v>
      </c>
      <c r="FL51" s="128" t="s">
        <v>893</v>
      </c>
      <c r="FM51" s="1">
        <v>3</v>
      </c>
      <c r="FN51" s="1" t="s">
        <v>846</v>
      </c>
      <c r="FO51" s="1"/>
      <c r="FP51" s="11" t="s">
        <v>846</v>
      </c>
    </row>
    <row r="52" spans="117:172" x14ac:dyDescent="0.25">
      <c r="DM52" s="16">
        <v>48</v>
      </c>
      <c r="DN52" s="35">
        <v>-0.7</v>
      </c>
      <c r="DQ52" s="21" t="s">
        <v>623</v>
      </c>
      <c r="DR52" s="1">
        <v>4</v>
      </c>
      <c r="DS52" s="1">
        <v>60</v>
      </c>
      <c r="DT52" s="1" t="s">
        <v>94</v>
      </c>
      <c r="DU52" s="1" t="s">
        <v>94</v>
      </c>
      <c r="DV52" t="s">
        <v>415</v>
      </c>
      <c r="DW52" s="1">
        <v>0</v>
      </c>
      <c r="DX52" s="22" t="s">
        <v>623</v>
      </c>
      <c r="FL52" s="128" t="s">
        <v>894</v>
      </c>
      <c r="FM52" s="1">
        <v>4</v>
      </c>
      <c r="FN52" s="1" t="s">
        <v>846</v>
      </c>
      <c r="FO52" s="1"/>
      <c r="FP52" s="11"/>
    </row>
    <row r="53" spans="117:172" x14ac:dyDescent="0.25">
      <c r="DM53" s="16">
        <v>49</v>
      </c>
      <c r="DN53" s="35">
        <v>-0.3</v>
      </c>
      <c r="DQ53" s="21" t="s">
        <v>663</v>
      </c>
      <c r="DR53" s="1">
        <v>4</v>
      </c>
      <c r="DS53" s="1">
        <v>80</v>
      </c>
      <c r="DT53" s="1" t="s">
        <v>94</v>
      </c>
      <c r="DU53" s="1" t="s">
        <v>680</v>
      </c>
      <c r="DV53" t="s">
        <v>423</v>
      </c>
      <c r="DW53" s="1">
        <v>0</v>
      </c>
      <c r="DX53" s="22" t="s">
        <v>663</v>
      </c>
      <c r="FL53" s="128" t="s">
        <v>895</v>
      </c>
      <c r="FM53" s="1">
        <v>4</v>
      </c>
      <c r="FN53" s="1" t="s">
        <v>846</v>
      </c>
      <c r="FO53" s="1" t="s">
        <v>846</v>
      </c>
      <c r="FP53" s="11" t="s">
        <v>846</v>
      </c>
    </row>
    <row r="54" spans="117:172" x14ac:dyDescent="0.25">
      <c r="DM54" s="16">
        <v>50</v>
      </c>
      <c r="DN54" s="35">
        <v>0</v>
      </c>
      <c r="DQ54" s="21" t="s">
        <v>618</v>
      </c>
      <c r="DR54" s="1">
        <v>3</v>
      </c>
      <c r="DS54" s="1">
        <v>80</v>
      </c>
      <c r="DT54" s="1" t="s">
        <v>94</v>
      </c>
      <c r="DU54" s="1" t="s">
        <v>94</v>
      </c>
      <c r="DV54" t="s">
        <v>415</v>
      </c>
      <c r="DW54" s="1">
        <v>-1</v>
      </c>
      <c r="DX54" s="22" t="s">
        <v>619</v>
      </c>
      <c r="FL54" s="128" t="s">
        <v>896</v>
      </c>
      <c r="FM54" s="1">
        <v>2</v>
      </c>
      <c r="FN54" s="1"/>
      <c r="FO54" s="1" t="s">
        <v>846</v>
      </c>
      <c r="FP54" s="11"/>
    </row>
    <row r="55" spans="117:172" x14ac:dyDescent="0.25">
      <c r="DM55" s="16">
        <v>51</v>
      </c>
      <c r="DN55" s="35">
        <v>0</v>
      </c>
      <c r="DQ55" s="21" t="s">
        <v>425</v>
      </c>
      <c r="DR55" s="1">
        <v>6</v>
      </c>
      <c r="DS55" s="1">
        <v>95</v>
      </c>
      <c r="DT55" s="1" t="s">
        <v>94</v>
      </c>
      <c r="DU55" s="1" t="s">
        <v>680</v>
      </c>
      <c r="DV55" t="s">
        <v>425</v>
      </c>
      <c r="DW55" s="1">
        <v>0</v>
      </c>
      <c r="DX55" s="22" t="s">
        <v>425</v>
      </c>
      <c r="FL55" s="128" t="s">
        <v>897</v>
      </c>
      <c r="FM55" s="1">
        <v>2</v>
      </c>
      <c r="FN55" s="1"/>
      <c r="FO55" s="1" t="s">
        <v>846</v>
      </c>
      <c r="FP55" s="11"/>
    </row>
    <row r="56" spans="117:172" x14ac:dyDescent="0.25">
      <c r="DM56" s="16">
        <v>52</v>
      </c>
      <c r="DN56" s="35">
        <v>0.3</v>
      </c>
      <c r="DQ56" s="21" t="s">
        <v>668</v>
      </c>
      <c r="DR56" s="1">
        <v>4</v>
      </c>
      <c r="DS56" s="1">
        <v>50</v>
      </c>
      <c r="DT56" s="1" t="s">
        <v>94</v>
      </c>
      <c r="DU56" s="1" t="s">
        <v>678</v>
      </c>
      <c r="DV56" t="s">
        <v>425</v>
      </c>
      <c r="DW56" s="1">
        <v>-1</v>
      </c>
      <c r="DX56" s="22" t="s">
        <v>425</v>
      </c>
      <c r="FL56" s="128" t="s">
        <v>898</v>
      </c>
      <c r="FM56" s="1">
        <v>2</v>
      </c>
      <c r="FN56" s="1" t="s">
        <v>846</v>
      </c>
      <c r="FO56" s="1"/>
      <c r="FP56" s="11"/>
    </row>
    <row r="57" spans="117:172" x14ac:dyDescent="0.25">
      <c r="DM57" s="16">
        <v>53</v>
      </c>
      <c r="DN57" s="35">
        <v>0.7</v>
      </c>
      <c r="DQ57" s="21" t="s">
        <v>660</v>
      </c>
      <c r="DR57" s="1">
        <v>6</v>
      </c>
      <c r="DS57" s="1">
        <v>40</v>
      </c>
      <c r="DT57" s="1" t="s">
        <v>94</v>
      </c>
      <c r="DU57" s="1" t="s">
        <v>94</v>
      </c>
      <c r="DV57" t="s">
        <v>685</v>
      </c>
      <c r="DW57" s="1">
        <v>-1</v>
      </c>
      <c r="DX57" s="22" t="s">
        <v>482</v>
      </c>
      <c r="FL57" s="128" t="s">
        <v>899</v>
      </c>
      <c r="FM57" s="1">
        <v>6</v>
      </c>
      <c r="FN57" s="1" t="s">
        <v>846</v>
      </c>
      <c r="FO57" s="1"/>
      <c r="FP57" s="11" t="s">
        <v>846</v>
      </c>
    </row>
    <row r="58" spans="117:172" x14ac:dyDescent="0.25">
      <c r="DM58" s="16">
        <v>54</v>
      </c>
      <c r="DN58" s="35">
        <v>1</v>
      </c>
      <c r="DQ58" s="21" t="s">
        <v>674</v>
      </c>
      <c r="DR58" s="1">
        <v>3</v>
      </c>
      <c r="DS58" s="1">
        <v>70</v>
      </c>
      <c r="DT58" s="1" t="s">
        <v>94</v>
      </c>
      <c r="DU58" s="1" t="s">
        <v>648</v>
      </c>
      <c r="DV58" t="s">
        <v>426</v>
      </c>
      <c r="DW58" s="1">
        <v>-1</v>
      </c>
      <c r="DX58" s="22" t="s">
        <v>675</v>
      </c>
      <c r="FL58" s="128" t="s">
        <v>900</v>
      </c>
      <c r="FM58" s="1">
        <v>4</v>
      </c>
      <c r="FN58" s="1"/>
      <c r="FO58" s="1" t="s">
        <v>846</v>
      </c>
      <c r="FP58" s="11"/>
    </row>
    <row r="59" spans="117:172" x14ac:dyDescent="0.25">
      <c r="DM59" s="16">
        <v>55</v>
      </c>
      <c r="DN59" s="35">
        <f>ROUND(DN64-5/6,1)</f>
        <v>1.2</v>
      </c>
      <c r="DQ59" s="21" t="s">
        <v>653</v>
      </c>
      <c r="DR59" s="1">
        <v>4</v>
      </c>
      <c r="DS59" s="1">
        <v>35</v>
      </c>
      <c r="DT59" s="1" t="s">
        <v>94</v>
      </c>
      <c r="DU59" s="1" t="s">
        <v>649</v>
      </c>
      <c r="DV59" t="s">
        <v>421</v>
      </c>
      <c r="DW59" s="1">
        <v>0</v>
      </c>
      <c r="DX59" s="22" t="s">
        <v>653</v>
      </c>
      <c r="FL59" s="128" t="s">
        <v>901</v>
      </c>
      <c r="FM59" s="1">
        <v>3</v>
      </c>
      <c r="FN59" s="1"/>
      <c r="FO59" s="1" t="s">
        <v>846</v>
      </c>
      <c r="FP59" s="11"/>
    </row>
    <row r="60" spans="117:172" x14ac:dyDescent="0.25">
      <c r="DM60" s="16">
        <v>56</v>
      </c>
      <c r="DN60" s="35">
        <f>ROUND(DN64-4/6,1)</f>
        <v>1.3</v>
      </c>
      <c r="DQ60" s="21" t="s">
        <v>669</v>
      </c>
      <c r="DR60" s="1">
        <v>7</v>
      </c>
      <c r="DS60" s="1">
        <v>95</v>
      </c>
      <c r="DT60" s="1" t="s">
        <v>94</v>
      </c>
      <c r="DU60" s="1" t="s">
        <v>682</v>
      </c>
      <c r="DV60" t="s">
        <v>425</v>
      </c>
      <c r="DW60" s="1">
        <v>1</v>
      </c>
      <c r="DX60" s="22" t="s">
        <v>425</v>
      </c>
      <c r="FL60" s="128" t="s">
        <v>902</v>
      </c>
      <c r="FM60" s="1">
        <v>6</v>
      </c>
      <c r="FN60" s="1"/>
      <c r="FO60" s="1" t="s">
        <v>846</v>
      </c>
      <c r="FP60" s="11" t="s">
        <v>846</v>
      </c>
    </row>
    <row r="61" spans="117:172" x14ac:dyDescent="0.25">
      <c r="DM61" s="16">
        <v>57</v>
      </c>
      <c r="DN61" s="35">
        <f>ROUND(DN64-3/6,1)</f>
        <v>1.5</v>
      </c>
      <c r="DQ61" s="21" t="s">
        <v>655</v>
      </c>
      <c r="DR61" s="1">
        <v>4</v>
      </c>
      <c r="DS61" s="1">
        <v>50</v>
      </c>
      <c r="DT61" s="1" t="s">
        <v>94</v>
      </c>
      <c r="DU61" s="1" t="s">
        <v>94</v>
      </c>
      <c r="DV61" t="s">
        <v>53</v>
      </c>
      <c r="DW61" s="1">
        <v>-1</v>
      </c>
      <c r="DX61" s="22" t="s">
        <v>53</v>
      </c>
      <c r="FL61" s="128" t="s">
        <v>903</v>
      </c>
      <c r="FM61" s="1">
        <v>2</v>
      </c>
      <c r="FN61" s="1"/>
      <c r="FO61" s="1" t="s">
        <v>846</v>
      </c>
      <c r="FP61" s="11"/>
    </row>
    <row r="62" spans="117:172" x14ac:dyDescent="0.25">
      <c r="DM62" s="16">
        <v>58</v>
      </c>
      <c r="DN62" s="35">
        <f>ROUND(DN64-2/6,1)</f>
        <v>1.7</v>
      </c>
      <c r="DQ62" s="21" t="s">
        <v>671</v>
      </c>
      <c r="DR62" s="1">
        <v>5</v>
      </c>
      <c r="DS62" s="1">
        <v>35</v>
      </c>
      <c r="DT62" s="1" t="s">
        <v>94</v>
      </c>
      <c r="DU62" s="1" t="s">
        <v>684</v>
      </c>
      <c r="DV62" t="s">
        <v>426</v>
      </c>
      <c r="DW62" s="1">
        <v>-1</v>
      </c>
      <c r="DX62" s="22" t="s">
        <v>636</v>
      </c>
      <c r="FL62" s="128" t="s">
        <v>904</v>
      </c>
      <c r="FM62" s="1">
        <v>3</v>
      </c>
      <c r="FN62" s="1" t="s">
        <v>846</v>
      </c>
      <c r="FO62" s="1"/>
      <c r="FP62" s="11"/>
    </row>
    <row r="63" spans="117:172" x14ac:dyDescent="0.25">
      <c r="DM63" s="16">
        <v>59</v>
      </c>
      <c r="DN63" s="35">
        <f>ROUND(DN64-1/6,1)</f>
        <v>1.8</v>
      </c>
      <c r="DQ63" s="21" t="s">
        <v>658</v>
      </c>
      <c r="DR63" s="1">
        <v>4</v>
      </c>
      <c r="DS63" s="1">
        <v>65</v>
      </c>
      <c r="DT63" s="1" t="s">
        <v>94</v>
      </c>
      <c r="DU63" s="1" t="s">
        <v>94</v>
      </c>
      <c r="DV63" t="s">
        <v>53</v>
      </c>
      <c r="DW63" s="1">
        <v>0</v>
      </c>
      <c r="DX63" s="22" t="s">
        <v>53</v>
      </c>
      <c r="FL63" s="128" t="s">
        <v>905</v>
      </c>
      <c r="FM63" s="1">
        <v>4</v>
      </c>
      <c r="FN63" s="1" t="s">
        <v>846</v>
      </c>
      <c r="FO63" s="1"/>
      <c r="FP63" s="11"/>
    </row>
    <row r="64" spans="117:172" x14ac:dyDescent="0.25">
      <c r="DM64" s="16">
        <v>60</v>
      </c>
      <c r="DN64" s="35">
        <v>2</v>
      </c>
      <c r="DQ64" s="21" t="s">
        <v>641</v>
      </c>
      <c r="DR64" s="1">
        <v>4</v>
      </c>
      <c r="DS64" s="1">
        <v>65</v>
      </c>
      <c r="DT64" s="1" t="s">
        <v>94</v>
      </c>
      <c r="DU64" s="1" t="s">
        <v>94</v>
      </c>
      <c r="DV64" t="s">
        <v>417</v>
      </c>
      <c r="DW64" s="1">
        <v>0</v>
      </c>
      <c r="DX64" s="22" t="s">
        <v>641</v>
      </c>
      <c r="FL64" s="128" t="s">
        <v>906</v>
      </c>
      <c r="FM64" s="1">
        <v>4</v>
      </c>
      <c r="FN64" s="1" t="s">
        <v>846</v>
      </c>
      <c r="FO64" s="1"/>
      <c r="FP64" s="11" t="s">
        <v>846</v>
      </c>
    </row>
    <row r="65" spans="117:172" x14ac:dyDescent="0.25">
      <c r="DM65" s="16">
        <v>61</v>
      </c>
      <c r="DN65" s="35">
        <f>ROUND(DN70-5/6,1)</f>
        <v>2.2000000000000002</v>
      </c>
      <c r="DQ65" s="21" t="s">
        <v>646</v>
      </c>
      <c r="DR65" s="1">
        <v>6</v>
      </c>
      <c r="DS65" s="1">
        <v>55</v>
      </c>
      <c r="DT65" s="1" t="s">
        <v>94</v>
      </c>
      <c r="DU65" s="1" t="s">
        <v>94</v>
      </c>
      <c r="DV65" t="s">
        <v>420</v>
      </c>
      <c r="DW65" s="1">
        <v>1</v>
      </c>
      <c r="DX65" s="22" t="s">
        <v>641</v>
      </c>
      <c r="FL65" s="128" t="s">
        <v>907</v>
      </c>
      <c r="FM65" s="1">
        <v>4</v>
      </c>
      <c r="FN65" s="1" t="s">
        <v>846</v>
      </c>
      <c r="FO65" s="1" t="s">
        <v>846</v>
      </c>
      <c r="FP65" s="11" t="s">
        <v>846</v>
      </c>
    </row>
    <row r="66" spans="117:172" ht="15.75" thickBot="1" x14ac:dyDescent="0.3">
      <c r="DM66" s="16">
        <v>62</v>
      </c>
      <c r="DN66" s="35">
        <f>ROUND(DN70-4/6,1)</f>
        <v>2.2999999999999998</v>
      </c>
      <c r="DQ66" s="23" t="s">
        <v>659</v>
      </c>
      <c r="DR66" s="24">
        <v>7</v>
      </c>
      <c r="DS66" s="24">
        <v>40</v>
      </c>
      <c r="DT66" s="24" t="s">
        <v>94</v>
      </c>
      <c r="DU66" s="24" t="s">
        <v>94</v>
      </c>
      <c r="DV66" s="45" t="s">
        <v>685</v>
      </c>
      <c r="DW66" s="24">
        <v>0</v>
      </c>
      <c r="DX66" s="37" t="s">
        <v>659</v>
      </c>
      <c r="FL66" s="128" t="s">
        <v>908</v>
      </c>
      <c r="FM66" s="1">
        <v>2</v>
      </c>
      <c r="FN66" s="1" t="s">
        <v>846</v>
      </c>
      <c r="FO66" s="1"/>
      <c r="FP66" s="11" t="s">
        <v>846</v>
      </c>
    </row>
    <row r="67" spans="117:172" x14ac:dyDescent="0.25">
      <c r="DM67" s="16">
        <v>63</v>
      </c>
      <c r="DN67" s="35">
        <f>ROUND(DN70-3/6,1)</f>
        <v>2.5</v>
      </c>
      <c r="FL67" s="128" t="s">
        <v>909</v>
      </c>
      <c r="FM67" s="1">
        <v>3</v>
      </c>
      <c r="FN67" s="1"/>
      <c r="FO67" s="1"/>
      <c r="FP67" s="11" t="s">
        <v>846</v>
      </c>
    </row>
    <row r="68" spans="117:172" x14ac:dyDescent="0.25">
      <c r="DM68" s="16">
        <v>64</v>
      </c>
      <c r="DN68" s="35">
        <f>ROUND(DN70-2/6,1)</f>
        <v>2.7</v>
      </c>
      <c r="FL68" s="128" t="s">
        <v>910</v>
      </c>
      <c r="FM68" s="1">
        <v>2</v>
      </c>
      <c r="FN68" s="1" t="s">
        <v>846</v>
      </c>
      <c r="FO68" s="1"/>
      <c r="FP68" s="11"/>
    </row>
    <row r="69" spans="117:172" x14ac:dyDescent="0.25">
      <c r="DM69" s="16">
        <v>65</v>
      </c>
      <c r="DN69" s="35">
        <f>ROUND(DN70-1/6,1)</f>
        <v>2.8</v>
      </c>
      <c r="FL69" s="128" t="s">
        <v>911</v>
      </c>
      <c r="FM69" s="1">
        <v>3</v>
      </c>
      <c r="FN69" s="1" t="s">
        <v>846</v>
      </c>
      <c r="FO69" s="1"/>
      <c r="FP69" s="11"/>
    </row>
    <row r="70" spans="117:172" x14ac:dyDescent="0.25">
      <c r="DM70" s="16">
        <v>66</v>
      </c>
      <c r="DN70" s="35">
        <v>3</v>
      </c>
      <c r="FL70" s="128" t="s">
        <v>912</v>
      </c>
      <c r="FM70" s="1">
        <v>4</v>
      </c>
      <c r="FN70" s="1" t="s">
        <v>846</v>
      </c>
      <c r="FO70" s="1" t="s">
        <v>846</v>
      </c>
      <c r="FP70" s="11"/>
    </row>
    <row r="71" spans="117:172" x14ac:dyDescent="0.25">
      <c r="DM71" s="16">
        <v>67</v>
      </c>
      <c r="DN71" s="35">
        <f>ROUND(DN76-5/6,1)</f>
        <v>3.2</v>
      </c>
      <c r="FL71" s="128" t="s">
        <v>913</v>
      </c>
      <c r="FM71" s="1">
        <v>4</v>
      </c>
      <c r="FN71" s="1" t="s">
        <v>846</v>
      </c>
      <c r="FO71" s="1" t="s">
        <v>846</v>
      </c>
      <c r="FP71" s="11" t="s">
        <v>846</v>
      </c>
    </row>
    <row r="72" spans="117:172" x14ac:dyDescent="0.25">
      <c r="DM72" s="16">
        <v>68</v>
      </c>
      <c r="DN72" s="35">
        <f>ROUND(DN76-4/6,1)</f>
        <v>3.3</v>
      </c>
      <c r="FL72" s="128" t="s">
        <v>914</v>
      </c>
      <c r="FM72" s="1">
        <v>6</v>
      </c>
      <c r="FN72" s="1"/>
      <c r="FO72" s="1" t="s">
        <v>846</v>
      </c>
      <c r="FP72" s="11" t="s">
        <v>846</v>
      </c>
    </row>
    <row r="73" spans="117:172" x14ac:dyDescent="0.25">
      <c r="DM73" s="16">
        <v>69</v>
      </c>
      <c r="DN73" s="35">
        <f>ROUND(DN76-3/6,1)</f>
        <v>3.5</v>
      </c>
      <c r="FL73" s="128" t="s">
        <v>915</v>
      </c>
      <c r="FM73" s="1">
        <v>4</v>
      </c>
      <c r="FN73" s="1"/>
      <c r="FO73" s="1" t="s">
        <v>846</v>
      </c>
      <c r="FP73" s="11"/>
    </row>
    <row r="74" spans="117:172" x14ac:dyDescent="0.25">
      <c r="DM74" s="16">
        <v>70</v>
      </c>
      <c r="DN74" s="35">
        <f>ROUND(DN76-2/6,1)</f>
        <v>3.7</v>
      </c>
      <c r="FL74" s="128" t="s">
        <v>916</v>
      </c>
      <c r="FM74" s="1">
        <v>6</v>
      </c>
      <c r="FN74" s="1" t="s">
        <v>846</v>
      </c>
      <c r="FO74" s="1" t="s">
        <v>846</v>
      </c>
      <c r="FP74" s="11"/>
    </row>
    <row r="75" spans="117:172" x14ac:dyDescent="0.25">
      <c r="DM75" s="16">
        <v>71</v>
      </c>
      <c r="DN75" s="35">
        <f>ROUND(DN76-1/6,1)</f>
        <v>3.8</v>
      </c>
      <c r="FL75" s="128" t="s">
        <v>917</v>
      </c>
      <c r="FM75" s="1">
        <v>4</v>
      </c>
      <c r="FN75" s="1" t="s">
        <v>846</v>
      </c>
      <c r="FO75" s="1"/>
      <c r="FP75" s="11"/>
    </row>
    <row r="76" spans="117:172" x14ac:dyDescent="0.25">
      <c r="DM76" s="16">
        <v>72</v>
      </c>
      <c r="DN76" s="35">
        <v>4</v>
      </c>
      <c r="FL76" s="128" t="s">
        <v>918</v>
      </c>
      <c r="FM76" s="1">
        <v>4</v>
      </c>
      <c r="FN76" s="1" t="s">
        <v>846</v>
      </c>
      <c r="FO76" s="1"/>
      <c r="FP76" s="11"/>
    </row>
    <row r="77" spans="117:172" x14ac:dyDescent="0.25">
      <c r="DM77" s="16">
        <v>73</v>
      </c>
      <c r="DN77" s="35">
        <f>ROUND(DN82-5/6,1)</f>
        <v>4.2</v>
      </c>
      <c r="FL77" s="128" t="s">
        <v>919</v>
      </c>
      <c r="FM77" s="1">
        <v>6</v>
      </c>
      <c r="FN77" s="1" t="s">
        <v>846</v>
      </c>
      <c r="FO77" s="1"/>
      <c r="FP77" s="11"/>
    </row>
    <row r="78" spans="117:172" x14ac:dyDescent="0.25">
      <c r="DM78" s="16">
        <v>74</v>
      </c>
      <c r="DN78" s="35">
        <f>ROUND(DN82-4/6,1)</f>
        <v>4.3</v>
      </c>
      <c r="FL78" s="128" t="s">
        <v>920</v>
      </c>
      <c r="FM78" s="1">
        <v>5</v>
      </c>
      <c r="FN78" s="1"/>
      <c r="FO78" s="1" t="s">
        <v>846</v>
      </c>
      <c r="FP78" s="11"/>
    </row>
    <row r="79" spans="117:172" x14ac:dyDescent="0.25">
      <c r="DM79" s="16">
        <v>75</v>
      </c>
      <c r="DN79" s="35">
        <f>ROUND(DN82-3/6,1)</f>
        <v>4.5</v>
      </c>
      <c r="FL79" s="128" t="s">
        <v>921</v>
      </c>
      <c r="FM79" s="1">
        <v>4</v>
      </c>
      <c r="FN79" s="1"/>
      <c r="FO79" s="1" t="s">
        <v>846</v>
      </c>
      <c r="FP79" s="11"/>
    </row>
    <row r="80" spans="117:172" x14ac:dyDescent="0.25">
      <c r="DM80" s="16">
        <v>76</v>
      </c>
      <c r="DN80" s="35">
        <f>ROUND(DN82-2/6,1)</f>
        <v>4.7</v>
      </c>
      <c r="FL80" s="128" t="s">
        <v>922</v>
      </c>
      <c r="FM80" s="1">
        <v>4</v>
      </c>
      <c r="FN80" s="1"/>
      <c r="FO80" s="1" t="s">
        <v>846</v>
      </c>
      <c r="FP80" s="11"/>
    </row>
    <row r="81" spans="117:172" x14ac:dyDescent="0.25">
      <c r="DM81" s="16">
        <v>77</v>
      </c>
      <c r="DN81" s="35">
        <f>ROUND(DN82-1/6,1)</f>
        <v>4.8</v>
      </c>
      <c r="FL81" s="128" t="s">
        <v>923</v>
      </c>
      <c r="FM81" s="1">
        <v>4</v>
      </c>
      <c r="FN81" s="1"/>
      <c r="FO81" s="1" t="s">
        <v>846</v>
      </c>
      <c r="FP81" s="11" t="s">
        <v>846</v>
      </c>
    </row>
    <row r="82" spans="117:172" x14ac:dyDescent="0.25">
      <c r="DM82" s="16">
        <v>78</v>
      </c>
      <c r="DN82" s="35">
        <v>5</v>
      </c>
      <c r="FL82" s="128" t="s">
        <v>924</v>
      </c>
      <c r="FM82" s="1">
        <v>2</v>
      </c>
      <c r="FN82" s="1" t="s">
        <v>846</v>
      </c>
      <c r="FO82" s="1"/>
      <c r="FP82" s="11"/>
    </row>
    <row r="83" spans="117:172" x14ac:dyDescent="0.25">
      <c r="DM83" s="16">
        <v>79</v>
      </c>
      <c r="DN83" s="35">
        <f>ROUND(DN88-5/6,1)</f>
        <v>5.2</v>
      </c>
      <c r="FL83" s="128" t="s">
        <v>925</v>
      </c>
      <c r="FM83" s="1">
        <v>4</v>
      </c>
      <c r="FN83" s="1"/>
      <c r="FO83" s="1" t="s">
        <v>846</v>
      </c>
      <c r="FP83" s="11" t="s">
        <v>846</v>
      </c>
    </row>
    <row r="84" spans="117:172" x14ac:dyDescent="0.25">
      <c r="DM84" s="16">
        <v>80</v>
      </c>
      <c r="DN84" s="35">
        <f>ROUND(DN88-4/6,1)</f>
        <v>5.3</v>
      </c>
      <c r="FL84" s="128" t="s">
        <v>926</v>
      </c>
      <c r="FM84" s="1">
        <v>2</v>
      </c>
      <c r="FN84" s="1"/>
      <c r="FO84" s="1" t="s">
        <v>846</v>
      </c>
      <c r="FP84" s="11" t="s">
        <v>846</v>
      </c>
    </row>
    <row r="85" spans="117:172" x14ac:dyDescent="0.25">
      <c r="DM85" s="16">
        <v>81</v>
      </c>
      <c r="DN85" s="35">
        <f>ROUND(DN88-3/6,1)</f>
        <v>5.5</v>
      </c>
      <c r="FL85" s="128" t="s">
        <v>927</v>
      </c>
      <c r="FM85" s="1">
        <v>2</v>
      </c>
      <c r="FN85" s="1"/>
      <c r="FO85" s="1" t="s">
        <v>846</v>
      </c>
      <c r="FP85" s="11"/>
    </row>
    <row r="86" spans="117:172" x14ac:dyDescent="0.25">
      <c r="DM86" s="16">
        <v>82</v>
      </c>
      <c r="DN86" s="35">
        <f>ROUND(DN88-2/6,1)</f>
        <v>5.7</v>
      </c>
      <c r="FL86" s="128" t="s">
        <v>436</v>
      </c>
      <c r="FM86" s="1">
        <v>5</v>
      </c>
      <c r="FN86" s="1" t="s">
        <v>846</v>
      </c>
      <c r="FO86" s="1"/>
      <c r="FP86" s="11"/>
    </row>
    <row r="87" spans="117:172" x14ac:dyDescent="0.25">
      <c r="DM87" s="16">
        <v>83</v>
      </c>
      <c r="DN87" s="35">
        <f>ROUND(DN88-1/6,1)</f>
        <v>5.8</v>
      </c>
      <c r="FL87" s="128" t="s">
        <v>928</v>
      </c>
      <c r="FM87" s="1">
        <v>5</v>
      </c>
      <c r="FN87" s="1"/>
      <c r="FO87" s="1" t="s">
        <v>846</v>
      </c>
      <c r="FP87" s="11"/>
    </row>
    <row r="88" spans="117:172" x14ac:dyDescent="0.25">
      <c r="DM88" s="16">
        <v>84</v>
      </c>
      <c r="DN88" s="35">
        <v>6</v>
      </c>
      <c r="FL88" s="128" t="s">
        <v>929</v>
      </c>
      <c r="FM88" s="1">
        <v>6</v>
      </c>
      <c r="FN88" s="1"/>
      <c r="FO88" s="1" t="s">
        <v>846</v>
      </c>
      <c r="FP88" s="11"/>
    </row>
    <row r="89" spans="117:172" x14ac:dyDescent="0.25">
      <c r="DM89" s="16">
        <v>85</v>
      </c>
      <c r="DN89" s="35">
        <v>6.3</v>
      </c>
      <c r="FL89" s="128" t="s">
        <v>930</v>
      </c>
      <c r="FM89" s="1">
        <v>2</v>
      </c>
      <c r="FN89" s="1"/>
      <c r="FO89" s="1"/>
      <c r="FP89" s="11" t="s">
        <v>846</v>
      </c>
    </row>
    <row r="90" spans="117:172" x14ac:dyDescent="0.25">
      <c r="DM90" s="16">
        <v>86</v>
      </c>
      <c r="DN90" s="35">
        <v>6.7</v>
      </c>
      <c r="FL90" s="128" t="s">
        <v>931</v>
      </c>
      <c r="FM90" s="1">
        <v>3</v>
      </c>
      <c r="FN90" s="1" t="s">
        <v>846</v>
      </c>
      <c r="FO90" s="1" t="s">
        <v>846</v>
      </c>
      <c r="FP90" s="11" t="s">
        <v>846</v>
      </c>
    </row>
    <row r="91" spans="117:172" x14ac:dyDescent="0.25">
      <c r="DM91" s="16">
        <v>87</v>
      </c>
      <c r="DN91" s="35">
        <v>7</v>
      </c>
      <c r="FL91" s="128" t="s">
        <v>932</v>
      </c>
      <c r="FM91" s="1">
        <v>3</v>
      </c>
      <c r="FN91" s="1" t="s">
        <v>846</v>
      </c>
      <c r="FO91" s="1"/>
      <c r="FP91" s="11"/>
    </row>
    <row r="92" spans="117:172" x14ac:dyDescent="0.25">
      <c r="DM92" s="16">
        <v>88</v>
      </c>
      <c r="DN92" s="35">
        <v>7.3</v>
      </c>
      <c r="FL92" s="128" t="s">
        <v>933</v>
      </c>
      <c r="FM92" s="1">
        <v>5</v>
      </c>
      <c r="FN92" s="1" t="s">
        <v>846</v>
      </c>
      <c r="FO92" s="1"/>
      <c r="FP92" s="11" t="s">
        <v>846</v>
      </c>
    </row>
    <row r="93" spans="117:172" x14ac:dyDescent="0.25">
      <c r="DM93" s="16">
        <v>89</v>
      </c>
      <c r="DN93" s="35">
        <v>7.7</v>
      </c>
      <c r="FL93" s="128" t="s">
        <v>935</v>
      </c>
      <c r="FM93" s="1">
        <v>2</v>
      </c>
      <c r="FN93" s="1"/>
      <c r="FO93" s="1"/>
      <c r="FP93" s="11" t="s">
        <v>846</v>
      </c>
    </row>
    <row r="94" spans="117:172" x14ac:dyDescent="0.25">
      <c r="DM94" s="16">
        <v>90</v>
      </c>
      <c r="DN94" s="35">
        <v>8</v>
      </c>
      <c r="FL94" s="128" t="s">
        <v>936</v>
      </c>
      <c r="FM94" s="1">
        <v>2</v>
      </c>
      <c r="FN94" s="1"/>
      <c r="FO94" s="1"/>
      <c r="FP94" s="11" t="s">
        <v>846</v>
      </c>
    </row>
    <row r="95" spans="117:172" x14ac:dyDescent="0.25">
      <c r="DM95" s="16">
        <v>91</v>
      </c>
      <c r="DN95" s="35">
        <v>8.3000000000000007</v>
      </c>
      <c r="FL95" s="128" t="s">
        <v>937</v>
      </c>
      <c r="FM95" s="1">
        <v>3</v>
      </c>
      <c r="FN95" s="1"/>
      <c r="FO95" s="1"/>
      <c r="FP95" s="11" t="s">
        <v>846</v>
      </c>
    </row>
    <row r="96" spans="117:172" x14ac:dyDescent="0.25">
      <c r="DM96" s="16">
        <v>92</v>
      </c>
      <c r="DN96" s="35">
        <v>8.6999999999999993</v>
      </c>
      <c r="FL96" s="128" t="s">
        <v>938</v>
      </c>
      <c r="FM96" s="1">
        <v>3</v>
      </c>
      <c r="FN96" s="1"/>
      <c r="FO96" s="1"/>
      <c r="FP96" s="11" t="s">
        <v>846</v>
      </c>
    </row>
    <row r="97" spans="117:172" x14ac:dyDescent="0.25">
      <c r="DM97" s="16">
        <v>93</v>
      </c>
      <c r="DN97" s="35">
        <v>9</v>
      </c>
      <c r="FL97" s="128" t="s">
        <v>939</v>
      </c>
      <c r="FM97" s="1">
        <v>3</v>
      </c>
      <c r="FN97" s="1"/>
      <c r="FO97" s="1"/>
      <c r="FP97" s="11" t="s">
        <v>846</v>
      </c>
    </row>
    <row r="98" spans="117:172" x14ac:dyDescent="0.25">
      <c r="DM98" s="16">
        <v>94</v>
      </c>
      <c r="DN98" s="35">
        <v>9.5</v>
      </c>
      <c r="FL98" s="128" t="s">
        <v>940</v>
      </c>
      <c r="FM98" s="1">
        <v>5</v>
      </c>
      <c r="FN98" s="1"/>
      <c r="FO98" s="1"/>
      <c r="FP98" s="11" t="s">
        <v>846</v>
      </c>
    </row>
    <row r="99" spans="117:172" x14ac:dyDescent="0.25">
      <c r="DM99" s="16">
        <v>95</v>
      </c>
      <c r="DN99" s="35">
        <v>10</v>
      </c>
      <c r="FL99" s="128" t="s">
        <v>941</v>
      </c>
      <c r="FM99" s="1">
        <v>5</v>
      </c>
      <c r="FN99" s="1"/>
      <c r="FO99" s="1"/>
      <c r="FP99" s="11" t="s">
        <v>846</v>
      </c>
    </row>
    <row r="100" spans="117:172" x14ac:dyDescent="0.25">
      <c r="DM100" s="16">
        <v>96</v>
      </c>
      <c r="DN100" s="35">
        <v>11</v>
      </c>
      <c r="FL100" s="128" t="s">
        <v>942</v>
      </c>
      <c r="FM100" s="1">
        <v>4</v>
      </c>
      <c r="FN100" s="1"/>
      <c r="FO100" s="1"/>
      <c r="FP100" s="11" t="s">
        <v>846</v>
      </c>
    </row>
    <row r="101" spans="117:172" ht="15.75" thickBot="1" x14ac:dyDescent="0.3">
      <c r="DM101" s="16">
        <v>97</v>
      </c>
      <c r="DN101" s="35">
        <v>12</v>
      </c>
      <c r="FL101" s="129" t="s">
        <v>934</v>
      </c>
      <c r="FM101" s="24">
        <v>3</v>
      </c>
      <c r="FN101" s="24" t="s">
        <v>846</v>
      </c>
      <c r="FO101" s="24" t="s">
        <v>846</v>
      </c>
      <c r="FP101" s="25" t="s">
        <v>846</v>
      </c>
    </row>
    <row r="102" spans="117:172" x14ac:dyDescent="0.25">
      <c r="DM102" s="16">
        <v>98</v>
      </c>
      <c r="DN102" s="35">
        <v>13</v>
      </c>
    </row>
    <row r="103" spans="117:172" x14ac:dyDescent="0.25">
      <c r="DM103" s="16">
        <v>99</v>
      </c>
      <c r="DN103" s="35">
        <v>14</v>
      </c>
    </row>
    <row r="104" spans="117:172" ht="15.75" thickBot="1" x14ac:dyDescent="0.3">
      <c r="DM104" s="33">
        <v>100</v>
      </c>
      <c r="DN104" s="36">
        <v>15</v>
      </c>
    </row>
  </sheetData>
  <sortState xmlns:xlrd2="http://schemas.microsoft.com/office/spreadsheetml/2017/richdata2" ref="AX4:CI31">
    <sortCondition ref="AX4:AX31"/>
  </sortState>
  <mergeCells count="10">
    <mergeCell ref="FR4:FR11"/>
    <mergeCell ref="FR12:FR19"/>
    <mergeCell ref="FR20:FR27"/>
    <mergeCell ref="EG34:EG43"/>
    <mergeCell ref="EP4:EP8"/>
    <mergeCell ref="DF2:DG2"/>
    <mergeCell ref="DH2:DI2"/>
    <mergeCell ref="EG4:EG13"/>
    <mergeCell ref="EG14:EG23"/>
    <mergeCell ref="EG24:EG33"/>
  </mergeCells>
  <phoneticPr fontId="5" type="noConversion"/>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51D9E-51E7-4CAA-87CB-DDE817F25CE5}">
  <sheetPr>
    <tabColor rgb="FFFF0000"/>
  </sheetPr>
  <dimension ref="A1:W17"/>
  <sheetViews>
    <sheetView workbookViewId="0">
      <selection activeCell="V25" sqref="V25"/>
    </sheetView>
  </sheetViews>
  <sheetFormatPr defaultRowHeight="15" x14ac:dyDescent="0.25"/>
  <cols>
    <col min="2" max="2" width="19" style="1" bestFit="1" customWidth="1"/>
  </cols>
  <sheetData>
    <row r="1" spans="1:23" ht="15.75" thickBot="1" x14ac:dyDescent="0.3"/>
    <row r="2" spans="1:23" ht="15" customHeight="1" x14ac:dyDescent="0.25">
      <c r="A2" t="s">
        <v>983</v>
      </c>
      <c r="P2" s="461" t="s">
        <v>997</v>
      </c>
      <c r="Q2" s="462"/>
      <c r="R2" s="462"/>
      <c r="S2" s="462"/>
      <c r="T2" s="462"/>
      <c r="U2" s="462"/>
      <c r="V2" s="462"/>
      <c r="W2" s="463"/>
    </row>
    <row r="3" spans="1:23" x14ac:dyDescent="0.25">
      <c r="A3" s="1" t="s">
        <v>984</v>
      </c>
      <c r="B3" s="1" t="s">
        <v>985</v>
      </c>
      <c r="D3" t="s">
        <v>986</v>
      </c>
      <c r="P3" s="464"/>
      <c r="Q3" s="776"/>
      <c r="R3" s="776"/>
      <c r="S3" s="776"/>
      <c r="T3" s="776"/>
      <c r="U3" s="776"/>
      <c r="V3" s="776"/>
      <c r="W3" s="465"/>
    </row>
    <row r="4" spans="1:23" x14ac:dyDescent="0.25">
      <c r="A4" s="273">
        <v>46239</v>
      </c>
      <c r="B4" s="270">
        <v>1.06</v>
      </c>
      <c r="C4" s="271"/>
      <c r="D4" s="774" t="s">
        <v>987</v>
      </c>
      <c r="E4" s="774"/>
      <c r="F4" s="774"/>
      <c r="G4" s="774"/>
      <c r="H4" s="774"/>
      <c r="I4" s="774"/>
      <c r="J4" s="774"/>
      <c r="K4" s="774"/>
      <c r="L4" s="774"/>
      <c r="M4" s="774"/>
      <c r="P4" s="464"/>
      <c r="Q4" s="776"/>
      <c r="R4" s="776"/>
      <c r="S4" s="776"/>
      <c r="T4" s="776"/>
      <c r="U4" s="776"/>
      <c r="V4" s="776"/>
      <c r="W4" s="465"/>
    </row>
    <row r="5" spans="1:23" x14ac:dyDescent="0.25">
      <c r="A5" s="1"/>
      <c r="D5" s="308" t="s">
        <v>988</v>
      </c>
      <c r="E5" s="308"/>
      <c r="F5" s="308"/>
      <c r="G5" s="308"/>
      <c r="H5" s="308"/>
      <c r="I5" s="308"/>
      <c r="J5" s="308"/>
      <c r="K5" s="308"/>
      <c r="L5" s="308"/>
      <c r="M5" s="308"/>
      <c r="P5" s="464"/>
      <c r="Q5" s="776"/>
      <c r="R5" s="776"/>
      <c r="S5" s="776"/>
      <c r="T5" s="776"/>
      <c r="U5" s="776"/>
      <c r="V5" s="776"/>
      <c r="W5" s="465"/>
    </row>
    <row r="6" spans="1:23" x14ac:dyDescent="0.25">
      <c r="A6" s="1"/>
      <c r="D6" s="308" t="s">
        <v>989</v>
      </c>
      <c r="E6" s="308"/>
      <c r="F6" s="308"/>
      <c r="G6" s="308"/>
      <c r="H6" s="308"/>
      <c r="I6" s="308"/>
      <c r="J6" s="308"/>
      <c r="K6" s="308"/>
      <c r="L6" s="308"/>
      <c r="M6" s="308"/>
      <c r="P6" s="464"/>
      <c r="Q6" s="776"/>
      <c r="R6" s="776"/>
      <c r="S6" s="776"/>
      <c r="T6" s="776"/>
      <c r="U6" s="776"/>
      <c r="V6" s="776"/>
      <c r="W6" s="465"/>
    </row>
    <row r="7" spans="1:23" x14ac:dyDescent="0.25">
      <c r="A7" s="1"/>
      <c r="D7" s="308" t="s">
        <v>990</v>
      </c>
      <c r="E7" s="308"/>
      <c r="F7" s="308"/>
      <c r="G7" s="308"/>
      <c r="H7" s="308"/>
      <c r="I7" s="308"/>
      <c r="J7" s="308"/>
      <c r="K7" s="308"/>
      <c r="L7" s="308"/>
      <c r="M7" s="308"/>
      <c r="P7" s="464"/>
      <c r="Q7" s="776"/>
      <c r="R7" s="776"/>
      <c r="S7" s="776"/>
      <c r="T7" s="776"/>
      <c r="U7" s="776"/>
      <c r="V7" s="776"/>
      <c r="W7" s="465"/>
    </row>
    <row r="8" spans="1:23" x14ac:dyDescent="0.25">
      <c r="A8" s="1"/>
      <c r="D8" s="308" t="s">
        <v>991</v>
      </c>
      <c r="E8" s="308"/>
      <c r="F8" s="308"/>
      <c r="G8" s="308"/>
      <c r="H8" s="308"/>
      <c r="I8" s="308"/>
      <c r="J8" s="308"/>
      <c r="K8" s="308"/>
      <c r="L8" s="308"/>
      <c r="M8" s="308"/>
      <c r="P8" s="464"/>
      <c r="Q8" s="776"/>
      <c r="R8" s="776"/>
      <c r="S8" s="776"/>
      <c r="T8" s="776"/>
      <c r="U8" s="776"/>
      <c r="V8" s="776"/>
      <c r="W8" s="465"/>
    </row>
    <row r="9" spans="1:23" x14ac:dyDescent="0.25">
      <c r="A9" s="209"/>
      <c r="B9" s="209"/>
      <c r="C9" s="272"/>
      <c r="D9" s="775" t="s">
        <v>992</v>
      </c>
      <c r="E9" s="775"/>
      <c r="F9" s="775"/>
      <c r="G9" s="775"/>
      <c r="H9" s="775"/>
      <c r="I9" s="775"/>
      <c r="J9" s="775"/>
      <c r="K9" s="775"/>
      <c r="L9" s="775"/>
      <c r="M9" s="775"/>
      <c r="P9" s="464"/>
      <c r="Q9" s="776"/>
      <c r="R9" s="776"/>
      <c r="S9" s="776"/>
      <c r="T9" s="776"/>
      <c r="U9" s="776"/>
      <c r="V9" s="776"/>
      <c r="W9" s="465"/>
    </row>
    <row r="10" spans="1:23" x14ac:dyDescent="0.25">
      <c r="A10" s="273">
        <v>46239</v>
      </c>
      <c r="B10" s="270" t="s">
        <v>993</v>
      </c>
      <c r="C10" s="271"/>
      <c r="D10" s="774" t="s">
        <v>994</v>
      </c>
      <c r="E10" s="774"/>
      <c r="F10" s="774"/>
      <c r="G10" s="774"/>
      <c r="H10" s="774"/>
      <c r="I10" s="774"/>
      <c r="J10" s="774"/>
      <c r="K10" s="774"/>
      <c r="L10" s="774"/>
      <c r="M10" s="774"/>
      <c r="P10" s="464"/>
      <c r="Q10" s="776"/>
      <c r="R10" s="776"/>
      <c r="S10" s="776"/>
      <c r="T10" s="776"/>
      <c r="U10" s="776"/>
      <c r="V10" s="776"/>
      <c r="W10" s="465"/>
    </row>
    <row r="11" spans="1:23" x14ac:dyDescent="0.25">
      <c r="A11" s="1"/>
      <c r="D11" s="308" t="s">
        <v>995</v>
      </c>
      <c r="E11" s="308"/>
      <c r="F11" s="308"/>
      <c r="G11" s="308"/>
      <c r="H11" s="308"/>
      <c r="I11" s="308"/>
      <c r="J11" s="308"/>
      <c r="K11" s="308"/>
      <c r="L11" s="308"/>
      <c r="M11" s="308"/>
      <c r="P11" s="464"/>
      <c r="Q11" s="776"/>
      <c r="R11" s="776"/>
      <c r="S11" s="776"/>
      <c r="T11" s="776"/>
      <c r="U11" s="776"/>
      <c r="V11" s="776"/>
      <c r="W11" s="465"/>
    </row>
    <row r="12" spans="1:23" x14ac:dyDescent="0.25">
      <c r="A12" s="209"/>
      <c r="B12" s="209"/>
      <c r="C12" s="272"/>
      <c r="D12" s="775" t="s">
        <v>996</v>
      </c>
      <c r="E12" s="775"/>
      <c r="F12" s="775"/>
      <c r="G12" s="775"/>
      <c r="H12" s="775"/>
      <c r="I12" s="775"/>
      <c r="J12" s="775"/>
      <c r="K12" s="775"/>
      <c r="L12" s="775"/>
      <c r="M12" s="775"/>
      <c r="P12" s="464"/>
      <c r="Q12" s="776"/>
      <c r="R12" s="776"/>
      <c r="S12" s="776"/>
      <c r="T12" s="776"/>
      <c r="U12" s="776"/>
      <c r="V12" s="776"/>
      <c r="W12" s="465"/>
    </row>
    <row r="13" spans="1:23" x14ac:dyDescent="0.25">
      <c r="P13" s="464"/>
      <c r="Q13" s="776"/>
      <c r="R13" s="776"/>
      <c r="S13" s="776"/>
      <c r="T13" s="776"/>
      <c r="U13" s="776"/>
      <c r="V13" s="776"/>
      <c r="W13" s="465"/>
    </row>
    <row r="14" spans="1:23" x14ac:dyDescent="0.25">
      <c r="P14" s="464"/>
      <c r="Q14" s="776"/>
      <c r="R14" s="776"/>
      <c r="S14" s="776"/>
      <c r="T14" s="776"/>
      <c r="U14" s="776"/>
      <c r="V14" s="776"/>
      <c r="W14" s="465"/>
    </row>
    <row r="15" spans="1:23" x14ac:dyDescent="0.25">
      <c r="P15" s="464"/>
      <c r="Q15" s="776"/>
      <c r="R15" s="776"/>
      <c r="S15" s="776"/>
      <c r="T15" s="776"/>
      <c r="U15" s="776"/>
      <c r="V15" s="776"/>
      <c r="W15" s="465"/>
    </row>
    <row r="16" spans="1:23" x14ac:dyDescent="0.25">
      <c r="P16" s="464"/>
      <c r="Q16" s="776"/>
      <c r="R16" s="776"/>
      <c r="S16" s="776"/>
      <c r="T16" s="776"/>
      <c r="U16" s="776"/>
      <c r="V16" s="776"/>
      <c r="W16" s="465"/>
    </row>
    <row r="17" spans="16:23" ht="15.75" thickBot="1" x14ac:dyDescent="0.3">
      <c r="P17" s="466"/>
      <c r="Q17" s="467"/>
      <c r="R17" s="467"/>
      <c r="S17" s="467"/>
      <c r="T17" s="467"/>
      <c r="U17" s="467"/>
      <c r="V17" s="467"/>
      <c r="W17" s="468"/>
    </row>
  </sheetData>
  <mergeCells count="10">
    <mergeCell ref="D10:M10"/>
    <mergeCell ref="D11:M11"/>
    <mergeCell ref="D12:M12"/>
    <mergeCell ref="D4:M4"/>
    <mergeCell ref="D5:M5"/>
    <mergeCell ref="D6:M6"/>
    <mergeCell ref="D7:M7"/>
    <mergeCell ref="D8:M8"/>
    <mergeCell ref="D9:M9"/>
    <mergeCell ref="P2:W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79</vt:i4>
      </vt:variant>
    </vt:vector>
  </HeadingPairs>
  <TitlesOfParts>
    <vt:vector size="86" baseType="lpstr">
      <vt:lpstr>Base Details</vt:lpstr>
      <vt:lpstr>Skill Workbook</vt:lpstr>
      <vt:lpstr>Main</vt:lpstr>
      <vt:lpstr>Skills</vt:lpstr>
      <vt:lpstr>Combat</vt:lpstr>
      <vt:lpstr>Source_Data</vt:lpstr>
      <vt:lpstr>Change Log</vt:lpstr>
      <vt:lpstr>AG</vt:lpstr>
      <vt:lpstr>Armor_DB</vt:lpstr>
      <vt:lpstr>BMR</vt:lpstr>
      <vt:lpstr>Body_Development</vt:lpstr>
      <vt:lpstr>Body_Development_Ranks</vt:lpstr>
      <vt:lpstr>Bonus_Endurance</vt:lpstr>
      <vt:lpstr>Character_Name</vt:lpstr>
      <vt:lpstr>CO</vt:lpstr>
      <vt:lpstr>Cost_Melee</vt:lpstr>
      <vt:lpstr>Cost_Ranged</vt:lpstr>
      <vt:lpstr>Cost_Shield</vt:lpstr>
      <vt:lpstr>Cost_Unarmed</vt:lpstr>
      <vt:lpstr>Culinary</vt:lpstr>
      <vt:lpstr>Culture</vt:lpstr>
      <vt:lpstr>EM</vt:lpstr>
      <vt:lpstr>Gender</vt:lpstr>
      <vt:lpstr>Healing_Factor</vt:lpstr>
      <vt:lpstr>Herbalism</vt:lpstr>
      <vt:lpstr>HP</vt:lpstr>
      <vt:lpstr>IN</vt:lpstr>
      <vt:lpstr>Level</vt:lpstr>
      <vt:lpstr>ME</vt:lpstr>
      <vt:lpstr>Medicine</vt:lpstr>
      <vt:lpstr>MMP</vt:lpstr>
      <vt:lpstr>Power</vt:lpstr>
      <vt:lpstr>Power_Development</vt:lpstr>
      <vt:lpstr>PR</vt:lpstr>
      <vt:lpstr>Combat!Print_Area</vt:lpstr>
      <vt:lpstr>Main!Print_Area</vt:lpstr>
      <vt:lpstr>'Skill Workbook'!Print_Area</vt:lpstr>
      <vt:lpstr>Skills!Print_Area</vt:lpstr>
      <vt:lpstr>'Skill Workbook'!Print_Titles</vt:lpstr>
      <vt:lpstr>Profession</vt:lpstr>
      <vt:lpstr>Professional_Skill_Choices</vt:lpstr>
      <vt:lpstr>Professional_Skill_Knacks</vt:lpstr>
      <vt:lpstr>Professional_Skill_Options</vt:lpstr>
      <vt:lpstr>QU</vt:lpstr>
      <vt:lpstr>Race</vt:lpstr>
      <vt:lpstr>Rank_Bonus</vt:lpstr>
      <vt:lpstr>RE</vt:lpstr>
      <vt:lpstr>Realm</vt:lpstr>
      <vt:lpstr>Realm_Options</vt:lpstr>
      <vt:lpstr>Recovery</vt:lpstr>
      <vt:lpstr>RR_Channeling</vt:lpstr>
      <vt:lpstr>RR_Essence</vt:lpstr>
      <vt:lpstr>RR_Fear</vt:lpstr>
      <vt:lpstr>RR_Mentalism</vt:lpstr>
      <vt:lpstr>RR_Physical</vt:lpstr>
      <vt:lpstr>RS</vt:lpstr>
      <vt:lpstr>Running</vt:lpstr>
      <vt:lpstr>Running_Ranks</vt:lpstr>
      <vt:lpstr>SD</vt:lpstr>
      <vt:lpstr>Shield</vt:lpstr>
      <vt:lpstr>Shield_DB</vt:lpstr>
      <vt:lpstr>Shield_Ranks</vt:lpstr>
      <vt:lpstr>Shield_Uses</vt:lpstr>
      <vt:lpstr>Size</vt:lpstr>
      <vt:lpstr>ST</vt:lpstr>
      <vt:lpstr>Stat_Bonus</vt:lpstr>
      <vt:lpstr>Stride</vt:lpstr>
      <vt:lpstr>Table_Armor_Arms</vt:lpstr>
      <vt:lpstr>Table_Armor_Chest</vt:lpstr>
      <vt:lpstr>Table_Armor_Head</vt:lpstr>
      <vt:lpstr>Table_Armor_Legs</vt:lpstr>
      <vt:lpstr>Table_Armor_Shields</vt:lpstr>
      <vt:lpstr>Table_Culture</vt:lpstr>
      <vt:lpstr>Table_Culture_Ranks</vt:lpstr>
      <vt:lpstr>Table_Fighting_Styles</vt:lpstr>
      <vt:lpstr>Table_Melee_Weapons</vt:lpstr>
      <vt:lpstr>Table_Profession</vt:lpstr>
      <vt:lpstr>Table_Profession_Skills</vt:lpstr>
      <vt:lpstr>Table_Professional_Skills</vt:lpstr>
      <vt:lpstr>Table_Race</vt:lpstr>
      <vt:lpstr>Table_Ranged_Weapons</vt:lpstr>
      <vt:lpstr>Table_Realm_Stat</vt:lpstr>
      <vt:lpstr>Table_Style_Abilities</vt:lpstr>
      <vt:lpstr>Table_Unarmed_Attacks</vt:lpstr>
      <vt:lpstr>Weapon_Table</vt:lpstr>
      <vt:lpstr>Weight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Sean Wijbrandus</dc:creator>
  <cp:lastModifiedBy>Sean Wijbrandus</cp:lastModifiedBy>
  <cp:lastPrinted>2026-08-05T11:31:53Z</cp:lastPrinted>
  <dcterms:created xsi:type="dcterms:W3CDTF">2025-09-10T15:20:03Z</dcterms:created>
  <dcterms:modified xsi:type="dcterms:W3CDTF">2026-08-05T11:59:40Z</dcterms:modified>
</cp:coreProperties>
</file>