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Rolemaster\"/>
    </mc:Choice>
  </mc:AlternateContent>
  <xr:revisionPtr revIDLastSave="0" documentId="13_ncr:1_{63244437-383E-4D24-8CC7-9F5230761FB8}" xr6:coauthVersionLast="47" xr6:coauthVersionMax="47" xr10:uidLastSave="{00000000-0000-0000-0000-000000000000}"/>
  <bookViews>
    <workbookView xWindow="5475" yWindow="180" windowWidth="28605" windowHeight="19530" activeTab="1" xr2:uid="{8F33FAE4-8B9D-4655-9C77-27E329EFE01B}"/>
  </bookViews>
  <sheets>
    <sheet name="Front" sheetId="1" r:id="rId1"/>
    <sheet name="Combat" sheetId="6" r:id="rId2"/>
    <sheet name="Skills" sheetId="2" r:id="rId3"/>
    <sheet name="Trappings" sheetId="4" r:id="rId4"/>
    <sheet name="Worksheet" sheetId="5" r:id="rId5"/>
    <sheet name="Source_Data" sheetId="3" r:id="rId6"/>
  </sheets>
  <definedNames>
    <definedName name="_xlnm._FilterDatabase" localSheetId="0" hidden="1">Front!$A$1:$R$43</definedName>
    <definedName name="AG">Front!$I$13</definedName>
    <definedName name="BMR">Combat!$L$4</definedName>
    <definedName name="Body_Development">Skills!$AI$21</definedName>
    <definedName name="CO">Front!$I$14</definedName>
    <definedName name="Cost_Melee">Worksheet!$K$4</definedName>
    <definedName name="Cost_Ranged">Worksheet!$K$5</definedName>
    <definedName name="Cost_Shield">Worksheet!$K$6</definedName>
    <definedName name="Cost_Unarmed">Worksheet!$K$7</definedName>
    <definedName name="Culture">Front!$C$6</definedName>
    <definedName name="EM">Front!$I$15</definedName>
    <definedName name="Fatigue">Front!#REF!</definedName>
    <definedName name="HP">Combat!$C$17</definedName>
    <definedName name="IN">Front!$I$16</definedName>
    <definedName name="Level">Front!$Q$2</definedName>
    <definedName name="ME">Front!$I$17</definedName>
    <definedName name="MMP">Front!$M$8</definedName>
    <definedName name="Power">Combat!$F$17</definedName>
    <definedName name="Power_Development">Skills!$AI$113</definedName>
    <definedName name="PR">Front!$I$18</definedName>
    <definedName name="_xlnm.Print_Area" localSheetId="1">Combat!$A$1:$AA$47</definedName>
    <definedName name="_xlnm.Print_Area" localSheetId="0">Front!$A$1:$R$39</definedName>
    <definedName name="_xlnm.Print_Area" localSheetId="2">Skills!$A$1:$AI$176</definedName>
    <definedName name="_xlnm.Print_Area" localSheetId="3">Trappings!$A$1:$P$63</definedName>
    <definedName name="_xlnm.Print_Titles" localSheetId="2">Skills!$1:$5</definedName>
    <definedName name="Profession">Front!$C$7</definedName>
    <definedName name="QU">Front!$I$19</definedName>
    <definedName name="Race">Front!$C$5</definedName>
    <definedName name="Rank_Bonus">Source_Data!$A$4:$B$34</definedName>
    <definedName name="RE">Front!$I$20</definedName>
    <definedName name="Realm">Front!$C$8</definedName>
    <definedName name="Realm_Options">Source_Data!$Y$43:$Y$48</definedName>
    <definedName name="Recovery">Front!$C$9</definedName>
    <definedName name="RS">Front!$I$23</definedName>
    <definedName name="SD">Front!$I$21</definedName>
    <definedName name="Size">Front!$H$7</definedName>
    <definedName name="ST">Front!$I$22</definedName>
    <definedName name="Stat_Bonus">Source_Data!$BV$4:$BW$103</definedName>
    <definedName name="Stride">Front!$H$9</definedName>
    <definedName name="Table_Armor_Arms">Source_Data!$G$63:$M$72</definedName>
    <definedName name="Table_Armor_Chest">Source_Data!$G$43:$M$52</definedName>
    <definedName name="Table_Armor_Head">Source_Data!$G$53:$M$62</definedName>
    <definedName name="Table_Armor_Legs">Source_Data!$G$73:$M$82</definedName>
    <definedName name="Table_Armor_Shields">Source_Data!$P$43:$T$47</definedName>
    <definedName name="Table_Culture">Source_Data!$AE$3:$AF$12</definedName>
    <definedName name="Table_Culture_Ranks">Source_Data!$AH$5:$AR$36</definedName>
    <definedName name="Table_Melee_Weapons">Source_Data!$D$28:$E$35</definedName>
    <definedName name="Table_Profession">Source_Data!$D$3:$E$24</definedName>
    <definedName name="Table_Profession_Skills">Source_Data!$G$6:$AC$38</definedName>
    <definedName name="Table_Race">Source_Data!$AT$4:$BT$37</definedName>
    <definedName name="Table_Ranged_Weapons">Source_Data!$D$39:$E$43</definedName>
    <definedName name="Table_Realm_Stat">Source_Data!$Y$43:$Z$48</definedName>
    <definedName name="Table_Unarmed_Attacks">Source_Data!$D$47:$E$56</definedName>
    <definedName name="Weight">Front!$H$11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2" i="6" l="1"/>
  <c r="T43" i="6"/>
  <c r="T44" i="6"/>
  <c r="T45" i="6"/>
  <c r="T46" i="6"/>
  <c r="T41" i="6"/>
  <c r="D1" i="6"/>
  <c r="D32" i="1"/>
  <c r="Q29" i="1" l="1"/>
  <c r="Q28" i="1"/>
  <c r="Q27" i="1"/>
  <c r="K10" i="1"/>
  <c r="C11" i="1"/>
  <c r="C10" i="1"/>
  <c r="I3" i="2" s="1"/>
  <c r="C9" i="1"/>
  <c r="G22" i="1"/>
  <c r="G21" i="1"/>
  <c r="G20" i="1"/>
  <c r="G19" i="1"/>
  <c r="G18" i="1"/>
  <c r="G17" i="1"/>
  <c r="G16" i="1"/>
  <c r="G15" i="1"/>
  <c r="G14" i="1"/>
  <c r="G13" i="1"/>
  <c r="R33" i="1"/>
  <c r="A33" i="1"/>
  <c r="AF16" i="3"/>
  <c r="AF17" i="3"/>
  <c r="AF18" i="3"/>
  <c r="AF19" i="3"/>
  <c r="AF20" i="3"/>
  <c r="AF21" i="3"/>
  <c r="AF22" i="3"/>
  <c r="AF23" i="3"/>
  <c r="AF24" i="3"/>
  <c r="AF25" i="3"/>
  <c r="B23" i="6"/>
  <c r="H8" i="1"/>
  <c r="H9" i="1" s="1"/>
  <c r="BF128" i="2"/>
  <c r="BE128" i="2"/>
  <c r="BD128" i="2"/>
  <c r="BC128" i="2"/>
  <c r="BB128" i="2"/>
  <c r="BA128" i="2"/>
  <c r="AZ128" i="2"/>
  <c r="AY128" i="2"/>
  <c r="AX128" i="2"/>
  <c r="AW128" i="2"/>
  <c r="AV128" i="2"/>
  <c r="AU128" i="2"/>
  <c r="AT128" i="2"/>
  <c r="AS128" i="2"/>
  <c r="AR128" i="2"/>
  <c r="AQ128" i="2"/>
  <c r="AP128" i="2"/>
  <c r="AO128" i="2"/>
  <c r="AN128" i="2"/>
  <c r="AM128" i="2"/>
  <c r="AG128" i="2"/>
  <c r="AF128" i="2"/>
  <c r="AC128" i="2"/>
  <c r="AD128" i="2" s="1"/>
  <c r="B128" i="2"/>
  <c r="BF127" i="2"/>
  <c r="BE127" i="2"/>
  <c r="BD127" i="2"/>
  <c r="BC127" i="2"/>
  <c r="BB127" i="2"/>
  <c r="BA127" i="2"/>
  <c r="AZ127" i="2"/>
  <c r="AY127" i="2"/>
  <c r="AX127" i="2"/>
  <c r="AW127" i="2"/>
  <c r="AV127" i="2"/>
  <c r="AU127" i="2"/>
  <c r="AT127" i="2"/>
  <c r="AS127" i="2"/>
  <c r="AR127" i="2"/>
  <c r="AQ127" i="2"/>
  <c r="AP127" i="2"/>
  <c r="AO127" i="2"/>
  <c r="AN127" i="2"/>
  <c r="AM127" i="2"/>
  <c r="AG127" i="2"/>
  <c r="AF127" i="2"/>
  <c r="AC127" i="2"/>
  <c r="AD127" i="2" s="1"/>
  <c r="B127" i="2"/>
  <c r="BF126" i="2"/>
  <c r="BE126" i="2"/>
  <c r="BD126" i="2"/>
  <c r="BC126" i="2"/>
  <c r="BB126" i="2"/>
  <c r="BA126" i="2"/>
  <c r="AZ126" i="2"/>
  <c r="AY126" i="2"/>
  <c r="AX126" i="2"/>
  <c r="AW126" i="2"/>
  <c r="AV126" i="2"/>
  <c r="AU126" i="2"/>
  <c r="AT126" i="2"/>
  <c r="AS126" i="2"/>
  <c r="AR126" i="2"/>
  <c r="AQ126" i="2"/>
  <c r="AP126" i="2"/>
  <c r="AO126" i="2"/>
  <c r="AN126" i="2"/>
  <c r="AM126" i="2"/>
  <c r="AG126" i="2"/>
  <c r="AF126" i="2"/>
  <c r="AC126" i="2"/>
  <c r="AD126" i="2" s="1"/>
  <c r="B126" i="2"/>
  <c r="BF111" i="2"/>
  <c r="BE111" i="2"/>
  <c r="BD111" i="2"/>
  <c r="BC111" i="2"/>
  <c r="BB111" i="2"/>
  <c r="BA111" i="2"/>
  <c r="AZ111" i="2"/>
  <c r="AY111" i="2"/>
  <c r="AX111" i="2"/>
  <c r="AW111" i="2"/>
  <c r="AV111" i="2"/>
  <c r="AU111" i="2"/>
  <c r="AT111" i="2"/>
  <c r="AS111" i="2"/>
  <c r="AR111" i="2"/>
  <c r="AQ111" i="2"/>
  <c r="AP111" i="2"/>
  <c r="AO111" i="2"/>
  <c r="AN111" i="2"/>
  <c r="AM111" i="2"/>
  <c r="AG111" i="2"/>
  <c r="AF111" i="2"/>
  <c r="AC111" i="2"/>
  <c r="AD111" i="2" s="1"/>
  <c r="B111" i="2"/>
  <c r="R78" i="5"/>
  <c r="R71" i="5"/>
  <c r="R68" i="5"/>
  <c r="R61" i="5"/>
  <c r="R53" i="5"/>
  <c r="R48" i="5"/>
  <c r="R40" i="5"/>
  <c r="E39" i="5"/>
  <c r="E38" i="5"/>
  <c r="R37" i="5"/>
  <c r="E37" i="5"/>
  <c r="E36" i="5"/>
  <c r="R35" i="5"/>
  <c r="E35" i="5"/>
  <c r="E34" i="5"/>
  <c r="R33" i="5"/>
  <c r="E33" i="5"/>
  <c r="P32" i="5"/>
  <c r="H131" i="2" s="1"/>
  <c r="AC131" i="2" s="1"/>
  <c r="AD131" i="2" s="1"/>
  <c r="E32" i="5"/>
  <c r="P31" i="5"/>
  <c r="H130" i="2" s="1"/>
  <c r="AC130" i="2" s="1"/>
  <c r="AD130" i="2" s="1"/>
  <c r="E31" i="5"/>
  <c r="E40" i="5" s="1"/>
  <c r="P30" i="5"/>
  <c r="H124" i="2" s="1"/>
  <c r="AC124" i="2" s="1"/>
  <c r="E30" i="5"/>
  <c r="P29" i="5"/>
  <c r="H123" i="2" s="1"/>
  <c r="AC123" i="2" s="1"/>
  <c r="AD123" i="2" s="1"/>
  <c r="P28" i="5"/>
  <c r="H104" i="2" s="1"/>
  <c r="AC104" i="2" s="1"/>
  <c r="AD104" i="2" s="1"/>
  <c r="P27" i="5"/>
  <c r="H71" i="2" s="1"/>
  <c r="AC71" i="2" s="1"/>
  <c r="AD71" i="2" s="1"/>
  <c r="P26" i="5"/>
  <c r="H70" i="2" s="1"/>
  <c r="AC70" i="2" s="1"/>
  <c r="AD70" i="2" s="1"/>
  <c r="P25" i="5"/>
  <c r="H103" i="2" s="1"/>
  <c r="AC103" i="2" s="1"/>
  <c r="G3" i="6" s="1"/>
  <c r="P24" i="5"/>
  <c r="H101" i="2" s="1"/>
  <c r="AC101" i="2" s="1"/>
  <c r="AD101" i="2" s="1"/>
  <c r="P23" i="5"/>
  <c r="H96" i="2" s="1"/>
  <c r="AC96" i="2" s="1"/>
  <c r="P22" i="5"/>
  <c r="H95" i="2" s="1"/>
  <c r="AC95" i="2" s="1"/>
  <c r="P21" i="5"/>
  <c r="H72" i="2" s="1"/>
  <c r="AC72" i="2" s="1"/>
  <c r="AD72" i="2" s="1"/>
  <c r="P20" i="5"/>
  <c r="H64" i="2" s="1"/>
  <c r="AC64" i="2" s="1"/>
  <c r="AD64" i="2" s="1"/>
  <c r="P19" i="5"/>
  <c r="H62" i="2" s="1"/>
  <c r="AC62" i="2" s="1"/>
  <c r="AD62" i="2" s="1"/>
  <c r="P18" i="5"/>
  <c r="H60" i="2" s="1"/>
  <c r="AC60" i="2" s="1"/>
  <c r="AD60" i="2" s="1"/>
  <c r="P17" i="5"/>
  <c r="H59" i="2" s="1"/>
  <c r="AC59" i="2" s="1"/>
  <c r="P16" i="5"/>
  <c r="H58" i="2" s="1"/>
  <c r="AC58" i="2" s="1"/>
  <c r="AD58" i="2" s="1"/>
  <c r="P15" i="5"/>
  <c r="H23" i="2" s="1"/>
  <c r="AC23" i="2" s="1"/>
  <c r="AD23" i="2" s="1"/>
  <c r="P14" i="5"/>
  <c r="H21" i="2" s="1"/>
  <c r="AC21" i="2" s="1"/>
  <c r="AD21" i="2" s="1"/>
  <c r="D14" i="5"/>
  <c r="P13" i="5"/>
  <c r="H12" i="2" s="1"/>
  <c r="AC12" i="2" s="1"/>
  <c r="AD12" i="2" s="1"/>
  <c r="P12" i="5"/>
  <c r="H11" i="2" s="1"/>
  <c r="AC11" i="2" s="1"/>
  <c r="AD11" i="2" s="1"/>
  <c r="D12" i="5"/>
  <c r="P11" i="5"/>
  <c r="H10" i="2" s="1"/>
  <c r="AC10" i="2" s="1"/>
  <c r="I30" i="6" s="1"/>
  <c r="D11" i="5"/>
  <c r="I10" i="5"/>
  <c r="K7" i="5"/>
  <c r="B39" i="2" s="1"/>
  <c r="K6" i="5"/>
  <c r="B45" i="2" s="1"/>
  <c r="K5" i="5"/>
  <c r="B44" i="2" s="1"/>
  <c r="D5" i="5"/>
  <c r="D6" i="5" s="1"/>
  <c r="K4" i="5"/>
  <c r="B35" i="2" s="1"/>
  <c r="D3" i="5"/>
  <c r="Q22" i="1"/>
  <c r="Q20" i="1"/>
  <c r="Q21" i="1"/>
  <c r="C4" i="4"/>
  <c r="D4" i="4"/>
  <c r="Q31" i="1"/>
  <c r="J31" i="1"/>
  <c r="I31" i="1"/>
  <c r="Q26" i="1"/>
  <c r="O29" i="1"/>
  <c r="O28" i="1"/>
  <c r="O27" i="1"/>
  <c r="O26" i="1"/>
  <c r="M29" i="1"/>
  <c r="M28" i="1"/>
  <c r="M27" i="1"/>
  <c r="K29" i="1"/>
  <c r="K28" i="1"/>
  <c r="K27" i="1"/>
  <c r="J29" i="1"/>
  <c r="J28" i="1"/>
  <c r="J27" i="1"/>
  <c r="H29" i="1"/>
  <c r="H28" i="1"/>
  <c r="H27" i="1"/>
  <c r="R29" i="1"/>
  <c r="P29" i="1"/>
  <c r="N29" i="1"/>
  <c r="L29" i="1"/>
  <c r="R28" i="1"/>
  <c r="P28" i="1"/>
  <c r="N28" i="1"/>
  <c r="L28" i="1"/>
  <c r="R27" i="1"/>
  <c r="P27" i="1"/>
  <c r="N27" i="1"/>
  <c r="L27" i="1"/>
  <c r="M26" i="1"/>
  <c r="K26" i="1"/>
  <c r="J26" i="1"/>
  <c r="R26" i="1"/>
  <c r="P26" i="1"/>
  <c r="N26" i="1"/>
  <c r="L26" i="1"/>
  <c r="H26" i="1"/>
  <c r="H41" i="2"/>
  <c r="AC41" i="2" s="1"/>
  <c r="AD41" i="2" s="1"/>
  <c r="H42" i="2"/>
  <c r="AC42" i="2" s="1"/>
  <c r="AD42" i="2" s="1"/>
  <c r="H43" i="2"/>
  <c r="AC43" i="2" s="1"/>
  <c r="AD43" i="2" s="1"/>
  <c r="H44" i="2"/>
  <c r="AC44" i="2" s="1"/>
  <c r="AD44" i="2" s="1"/>
  <c r="H30" i="2"/>
  <c r="AC30" i="2" s="1"/>
  <c r="AD30" i="2" s="1"/>
  <c r="H31" i="2"/>
  <c r="AC31" i="2" s="1"/>
  <c r="AD31" i="2" s="1"/>
  <c r="H32" i="2"/>
  <c r="AC32" i="2" s="1"/>
  <c r="AD32" i="2" s="1"/>
  <c r="H33" i="2"/>
  <c r="AC33" i="2" s="1"/>
  <c r="AD33" i="2" s="1"/>
  <c r="H34" i="2"/>
  <c r="AC34" i="2" s="1"/>
  <c r="AD34" i="2" s="1"/>
  <c r="H35" i="2"/>
  <c r="AC35" i="2" s="1"/>
  <c r="AD35" i="2" s="1"/>
  <c r="H36" i="2"/>
  <c r="AC36" i="2" s="1"/>
  <c r="AD36" i="2" s="1"/>
  <c r="AF41" i="2"/>
  <c r="AG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AF42" i="2"/>
  <c r="AG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AF30" i="2"/>
  <c r="AG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AF31" i="2"/>
  <c r="AG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AF32" i="2"/>
  <c r="AG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BE32" i="2"/>
  <c r="BF32" i="2"/>
  <c r="AF33" i="2"/>
  <c r="AG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AF34" i="2"/>
  <c r="AG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BD34" i="2"/>
  <c r="BE34" i="2"/>
  <c r="BF34" i="2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3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I30" i="1"/>
  <c r="P59" i="4"/>
  <c r="AM144" i="2"/>
  <c r="AN144" i="2"/>
  <c r="AO144" i="2"/>
  <c r="AP144" i="2"/>
  <c r="AQ144" i="2"/>
  <c r="AR144" i="2"/>
  <c r="AS144" i="2"/>
  <c r="AT144" i="2"/>
  <c r="AU144" i="2"/>
  <c r="AV144" i="2"/>
  <c r="AW144" i="2"/>
  <c r="AX144" i="2"/>
  <c r="AY144" i="2"/>
  <c r="AZ144" i="2"/>
  <c r="BA144" i="2"/>
  <c r="BB144" i="2"/>
  <c r="BC144" i="2"/>
  <c r="BD144" i="2"/>
  <c r="BE144" i="2"/>
  <c r="BF144" i="2"/>
  <c r="AM145" i="2"/>
  <c r="AN145" i="2"/>
  <c r="AO145" i="2"/>
  <c r="AP145" i="2"/>
  <c r="AQ145" i="2"/>
  <c r="AR145" i="2"/>
  <c r="AS145" i="2"/>
  <c r="AT145" i="2"/>
  <c r="AU145" i="2"/>
  <c r="AV145" i="2"/>
  <c r="AW145" i="2"/>
  <c r="AX145" i="2"/>
  <c r="AY145" i="2"/>
  <c r="AZ145" i="2"/>
  <c r="BA145" i="2"/>
  <c r="BB145" i="2"/>
  <c r="BC145" i="2"/>
  <c r="BD145" i="2"/>
  <c r="BE145" i="2"/>
  <c r="BF145" i="2"/>
  <c r="AM146" i="2"/>
  <c r="AN146" i="2"/>
  <c r="AO146" i="2"/>
  <c r="AP146" i="2"/>
  <c r="AQ146" i="2"/>
  <c r="AR146" i="2"/>
  <c r="AS146" i="2"/>
  <c r="AT146" i="2"/>
  <c r="AU146" i="2"/>
  <c r="AV146" i="2"/>
  <c r="AW146" i="2"/>
  <c r="AX146" i="2"/>
  <c r="AY146" i="2"/>
  <c r="AZ146" i="2"/>
  <c r="BA146" i="2"/>
  <c r="BB146" i="2"/>
  <c r="BC146" i="2"/>
  <c r="BD146" i="2"/>
  <c r="BE146" i="2"/>
  <c r="BF146" i="2"/>
  <c r="AM147" i="2"/>
  <c r="AN147" i="2"/>
  <c r="AO147" i="2"/>
  <c r="AP147" i="2"/>
  <c r="AQ147" i="2"/>
  <c r="AR147" i="2"/>
  <c r="AS147" i="2"/>
  <c r="AT147" i="2"/>
  <c r="AU147" i="2"/>
  <c r="AV147" i="2"/>
  <c r="AW147" i="2"/>
  <c r="AX147" i="2"/>
  <c r="AY147" i="2"/>
  <c r="AZ147" i="2"/>
  <c r="BA147" i="2"/>
  <c r="BB147" i="2"/>
  <c r="BC147" i="2"/>
  <c r="BD147" i="2"/>
  <c r="BE147" i="2"/>
  <c r="BF147" i="2"/>
  <c r="AM148" i="2"/>
  <c r="AN148" i="2"/>
  <c r="AO148" i="2"/>
  <c r="AP148" i="2"/>
  <c r="AQ148" i="2"/>
  <c r="AR148" i="2"/>
  <c r="AS148" i="2"/>
  <c r="AT148" i="2"/>
  <c r="AU148" i="2"/>
  <c r="AV148" i="2"/>
  <c r="AW148" i="2"/>
  <c r="AX148" i="2"/>
  <c r="AY148" i="2"/>
  <c r="AZ148" i="2"/>
  <c r="BA148" i="2"/>
  <c r="BB148" i="2"/>
  <c r="BC148" i="2"/>
  <c r="BD148" i="2"/>
  <c r="BE148" i="2"/>
  <c r="BF148" i="2"/>
  <c r="AM149" i="2"/>
  <c r="AN149" i="2"/>
  <c r="AO149" i="2"/>
  <c r="AP149" i="2"/>
  <c r="AQ149" i="2"/>
  <c r="AR149" i="2"/>
  <c r="AS149" i="2"/>
  <c r="AT149" i="2"/>
  <c r="AU149" i="2"/>
  <c r="AV149" i="2"/>
  <c r="AW149" i="2"/>
  <c r="AX149" i="2"/>
  <c r="AY149" i="2"/>
  <c r="AZ149" i="2"/>
  <c r="BA149" i="2"/>
  <c r="BB149" i="2"/>
  <c r="BC149" i="2"/>
  <c r="BD149" i="2"/>
  <c r="BE149" i="2"/>
  <c r="BF149" i="2"/>
  <c r="AM150" i="2"/>
  <c r="AN150" i="2"/>
  <c r="AO150" i="2"/>
  <c r="AP150" i="2"/>
  <c r="AQ150" i="2"/>
  <c r="AR150" i="2"/>
  <c r="AS150" i="2"/>
  <c r="AT150" i="2"/>
  <c r="AU150" i="2"/>
  <c r="AV150" i="2"/>
  <c r="AW150" i="2"/>
  <c r="AX150" i="2"/>
  <c r="AY150" i="2"/>
  <c r="AZ150" i="2"/>
  <c r="BA150" i="2"/>
  <c r="BB150" i="2"/>
  <c r="BC150" i="2"/>
  <c r="BD150" i="2"/>
  <c r="BE150" i="2"/>
  <c r="BF150" i="2"/>
  <c r="AM151" i="2"/>
  <c r="AN151" i="2"/>
  <c r="AO151" i="2"/>
  <c r="AP151" i="2"/>
  <c r="AQ151" i="2"/>
  <c r="AR151" i="2"/>
  <c r="AS151" i="2"/>
  <c r="AT151" i="2"/>
  <c r="AU151" i="2"/>
  <c r="AV151" i="2"/>
  <c r="AW151" i="2"/>
  <c r="AX151" i="2"/>
  <c r="AY151" i="2"/>
  <c r="AZ151" i="2"/>
  <c r="BA151" i="2"/>
  <c r="BB151" i="2"/>
  <c r="BC151" i="2"/>
  <c r="BD151" i="2"/>
  <c r="BE151" i="2"/>
  <c r="BF151" i="2"/>
  <c r="AM152" i="2"/>
  <c r="AN152" i="2"/>
  <c r="AO152" i="2"/>
  <c r="AP152" i="2"/>
  <c r="AQ152" i="2"/>
  <c r="AR152" i="2"/>
  <c r="AS152" i="2"/>
  <c r="AT152" i="2"/>
  <c r="AU152" i="2"/>
  <c r="AV152" i="2"/>
  <c r="AW152" i="2"/>
  <c r="AX152" i="2"/>
  <c r="AY152" i="2"/>
  <c r="AZ152" i="2"/>
  <c r="BA152" i="2"/>
  <c r="BB152" i="2"/>
  <c r="BC152" i="2"/>
  <c r="BD152" i="2"/>
  <c r="BE152" i="2"/>
  <c r="BF152" i="2"/>
  <c r="AM153" i="2"/>
  <c r="AN153" i="2"/>
  <c r="AO153" i="2"/>
  <c r="AP153" i="2"/>
  <c r="AQ153" i="2"/>
  <c r="AR153" i="2"/>
  <c r="AS153" i="2"/>
  <c r="AT153" i="2"/>
  <c r="AU153" i="2"/>
  <c r="AV153" i="2"/>
  <c r="AW153" i="2"/>
  <c r="AX153" i="2"/>
  <c r="AY153" i="2"/>
  <c r="AZ153" i="2"/>
  <c r="BA153" i="2"/>
  <c r="BB153" i="2"/>
  <c r="BC153" i="2"/>
  <c r="BD153" i="2"/>
  <c r="BE153" i="2"/>
  <c r="BF153" i="2"/>
  <c r="AM154" i="2"/>
  <c r="AN154" i="2"/>
  <c r="AO154" i="2"/>
  <c r="AP154" i="2"/>
  <c r="AQ154" i="2"/>
  <c r="AR154" i="2"/>
  <c r="AS154" i="2"/>
  <c r="AT154" i="2"/>
  <c r="AU154" i="2"/>
  <c r="AV154" i="2"/>
  <c r="AW154" i="2"/>
  <c r="AX154" i="2"/>
  <c r="AY154" i="2"/>
  <c r="AZ154" i="2"/>
  <c r="BA154" i="2"/>
  <c r="BB154" i="2"/>
  <c r="BC154" i="2"/>
  <c r="BD154" i="2"/>
  <c r="BE154" i="2"/>
  <c r="BF154" i="2"/>
  <c r="AM155" i="2"/>
  <c r="AN155" i="2"/>
  <c r="AO155" i="2"/>
  <c r="AP155" i="2"/>
  <c r="AQ155" i="2"/>
  <c r="AR155" i="2"/>
  <c r="AS155" i="2"/>
  <c r="AT155" i="2"/>
  <c r="AU155" i="2"/>
  <c r="AV155" i="2"/>
  <c r="AW155" i="2"/>
  <c r="AX155" i="2"/>
  <c r="AY155" i="2"/>
  <c r="AZ155" i="2"/>
  <c r="BA155" i="2"/>
  <c r="BB155" i="2"/>
  <c r="BC155" i="2"/>
  <c r="BD155" i="2"/>
  <c r="BE155" i="2"/>
  <c r="BF155" i="2"/>
  <c r="AM156" i="2"/>
  <c r="AN156" i="2"/>
  <c r="AO156" i="2"/>
  <c r="AP156" i="2"/>
  <c r="AQ156" i="2"/>
  <c r="AR156" i="2"/>
  <c r="AS156" i="2"/>
  <c r="AT156" i="2"/>
  <c r="AU156" i="2"/>
  <c r="AV156" i="2"/>
  <c r="AW156" i="2"/>
  <c r="AX156" i="2"/>
  <c r="AY156" i="2"/>
  <c r="AZ156" i="2"/>
  <c r="BA156" i="2"/>
  <c r="BB156" i="2"/>
  <c r="BC156" i="2"/>
  <c r="BD156" i="2"/>
  <c r="BE156" i="2"/>
  <c r="BF156" i="2"/>
  <c r="AM157" i="2"/>
  <c r="AN157" i="2"/>
  <c r="AO157" i="2"/>
  <c r="AP157" i="2"/>
  <c r="AQ157" i="2"/>
  <c r="AR157" i="2"/>
  <c r="AS157" i="2"/>
  <c r="AT157" i="2"/>
  <c r="AU157" i="2"/>
  <c r="AV157" i="2"/>
  <c r="AW157" i="2"/>
  <c r="AX157" i="2"/>
  <c r="AY157" i="2"/>
  <c r="AZ157" i="2"/>
  <c r="BA157" i="2"/>
  <c r="BB157" i="2"/>
  <c r="BC157" i="2"/>
  <c r="BD157" i="2"/>
  <c r="BE157" i="2"/>
  <c r="BF157" i="2"/>
  <c r="AM158" i="2"/>
  <c r="AN158" i="2"/>
  <c r="AO158" i="2"/>
  <c r="AP158" i="2"/>
  <c r="AQ158" i="2"/>
  <c r="AR158" i="2"/>
  <c r="AS158" i="2"/>
  <c r="AT158" i="2"/>
  <c r="AU158" i="2"/>
  <c r="AV158" i="2"/>
  <c r="AW158" i="2"/>
  <c r="AX158" i="2"/>
  <c r="AY158" i="2"/>
  <c r="AZ158" i="2"/>
  <c r="BA158" i="2"/>
  <c r="BB158" i="2"/>
  <c r="BC158" i="2"/>
  <c r="BD158" i="2"/>
  <c r="BE158" i="2"/>
  <c r="BF158" i="2"/>
  <c r="AM159" i="2"/>
  <c r="AN159" i="2"/>
  <c r="AO159" i="2"/>
  <c r="AP159" i="2"/>
  <c r="AQ159" i="2"/>
  <c r="AR159" i="2"/>
  <c r="AS159" i="2"/>
  <c r="AT159" i="2"/>
  <c r="AU159" i="2"/>
  <c r="AV159" i="2"/>
  <c r="AW159" i="2"/>
  <c r="AX159" i="2"/>
  <c r="AY159" i="2"/>
  <c r="AZ159" i="2"/>
  <c r="BA159" i="2"/>
  <c r="BB159" i="2"/>
  <c r="BC159" i="2"/>
  <c r="BD159" i="2"/>
  <c r="BE159" i="2"/>
  <c r="BF159" i="2"/>
  <c r="AM160" i="2"/>
  <c r="AN160" i="2"/>
  <c r="AO160" i="2"/>
  <c r="AP160" i="2"/>
  <c r="AQ160" i="2"/>
  <c r="AR160" i="2"/>
  <c r="AS160" i="2"/>
  <c r="AT160" i="2"/>
  <c r="AU160" i="2"/>
  <c r="AV160" i="2"/>
  <c r="AW160" i="2"/>
  <c r="AX160" i="2"/>
  <c r="AY160" i="2"/>
  <c r="AZ160" i="2"/>
  <c r="BA160" i="2"/>
  <c r="BB160" i="2"/>
  <c r="BC160" i="2"/>
  <c r="BD160" i="2"/>
  <c r="BE160" i="2"/>
  <c r="BF160" i="2"/>
  <c r="AM161" i="2"/>
  <c r="AN161" i="2"/>
  <c r="AO161" i="2"/>
  <c r="AP161" i="2"/>
  <c r="AQ161" i="2"/>
  <c r="AR161" i="2"/>
  <c r="AS161" i="2"/>
  <c r="AT161" i="2"/>
  <c r="AU161" i="2"/>
  <c r="AV161" i="2"/>
  <c r="AW161" i="2"/>
  <c r="AX161" i="2"/>
  <c r="AY161" i="2"/>
  <c r="AZ161" i="2"/>
  <c r="BA161" i="2"/>
  <c r="BB161" i="2"/>
  <c r="BC161" i="2"/>
  <c r="BD161" i="2"/>
  <c r="BE161" i="2"/>
  <c r="BF161" i="2"/>
  <c r="AM162" i="2"/>
  <c r="AN162" i="2"/>
  <c r="AO162" i="2"/>
  <c r="AP162" i="2"/>
  <c r="AQ162" i="2"/>
  <c r="AR162" i="2"/>
  <c r="AS162" i="2"/>
  <c r="AT162" i="2"/>
  <c r="AU162" i="2"/>
  <c r="AV162" i="2"/>
  <c r="AW162" i="2"/>
  <c r="AX162" i="2"/>
  <c r="AY162" i="2"/>
  <c r="AZ162" i="2"/>
  <c r="BA162" i="2"/>
  <c r="BB162" i="2"/>
  <c r="BC162" i="2"/>
  <c r="BD162" i="2"/>
  <c r="BE162" i="2"/>
  <c r="BF162" i="2"/>
  <c r="AM163" i="2"/>
  <c r="AN163" i="2"/>
  <c r="AO163" i="2"/>
  <c r="AP163" i="2"/>
  <c r="AQ163" i="2"/>
  <c r="AR163" i="2"/>
  <c r="AS163" i="2"/>
  <c r="AT163" i="2"/>
  <c r="AU163" i="2"/>
  <c r="AV163" i="2"/>
  <c r="AW163" i="2"/>
  <c r="AX163" i="2"/>
  <c r="AY163" i="2"/>
  <c r="AZ163" i="2"/>
  <c r="BA163" i="2"/>
  <c r="BB163" i="2"/>
  <c r="BC163" i="2"/>
  <c r="BD163" i="2"/>
  <c r="BE163" i="2"/>
  <c r="BF163" i="2"/>
  <c r="AM164" i="2"/>
  <c r="AN164" i="2"/>
  <c r="AO164" i="2"/>
  <c r="AP164" i="2"/>
  <c r="AQ164" i="2"/>
  <c r="AR164" i="2"/>
  <c r="AS164" i="2"/>
  <c r="AT164" i="2"/>
  <c r="AU164" i="2"/>
  <c r="AV164" i="2"/>
  <c r="AW164" i="2"/>
  <c r="AX164" i="2"/>
  <c r="AY164" i="2"/>
  <c r="AZ164" i="2"/>
  <c r="BA164" i="2"/>
  <c r="BB164" i="2"/>
  <c r="BC164" i="2"/>
  <c r="BD164" i="2"/>
  <c r="BE164" i="2"/>
  <c r="BF164" i="2"/>
  <c r="AM165" i="2"/>
  <c r="AN165" i="2"/>
  <c r="AO165" i="2"/>
  <c r="AP165" i="2"/>
  <c r="AQ165" i="2"/>
  <c r="AR165" i="2"/>
  <c r="AS165" i="2"/>
  <c r="AT165" i="2"/>
  <c r="AU165" i="2"/>
  <c r="AV165" i="2"/>
  <c r="AW165" i="2"/>
  <c r="AX165" i="2"/>
  <c r="AY165" i="2"/>
  <c r="AZ165" i="2"/>
  <c r="BA165" i="2"/>
  <c r="BB165" i="2"/>
  <c r="BC165" i="2"/>
  <c r="BD165" i="2"/>
  <c r="BE165" i="2"/>
  <c r="BF165" i="2"/>
  <c r="AM166" i="2"/>
  <c r="AN166" i="2"/>
  <c r="AO166" i="2"/>
  <c r="AP166" i="2"/>
  <c r="AQ166" i="2"/>
  <c r="AR166" i="2"/>
  <c r="AS166" i="2"/>
  <c r="AT166" i="2"/>
  <c r="AU166" i="2"/>
  <c r="AV166" i="2"/>
  <c r="AW166" i="2"/>
  <c r="AX166" i="2"/>
  <c r="AY166" i="2"/>
  <c r="AZ166" i="2"/>
  <c r="BA166" i="2"/>
  <c r="BB166" i="2"/>
  <c r="BC166" i="2"/>
  <c r="BD166" i="2"/>
  <c r="BE166" i="2"/>
  <c r="BF166" i="2"/>
  <c r="AM167" i="2"/>
  <c r="AN167" i="2"/>
  <c r="AO167" i="2"/>
  <c r="AP167" i="2"/>
  <c r="AQ167" i="2"/>
  <c r="AR167" i="2"/>
  <c r="AS167" i="2"/>
  <c r="AT167" i="2"/>
  <c r="AU167" i="2"/>
  <c r="AV167" i="2"/>
  <c r="AW167" i="2"/>
  <c r="AX167" i="2"/>
  <c r="AY167" i="2"/>
  <c r="AZ167" i="2"/>
  <c r="BA167" i="2"/>
  <c r="BB167" i="2"/>
  <c r="BC167" i="2"/>
  <c r="BD167" i="2"/>
  <c r="BE167" i="2"/>
  <c r="BF167" i="2"/>
  <c r="AM168" i="2"/>
  <c r="AN168" i="2"/>
  <c r="AO168" i="2"/>
  <c r="AP168" i="2"/>
  <c r="AQ168" i="2"/>
  <c r="AR168" i="2"/>
  <c r="AS168" i="2"/>
  <c r="AT168" i="2"/>
  <c r="AU168" i="2"/>
  <c r="AV168" i="2"/>
  <c r="AW168" i="2"/>
  <c r="AX168" i="2"/>
  <c r="AY168" i="2"/>
  <c r="AZ168" i="2"/>
  <c r="BA168" i="2"/>
  <c r="BB168" i="2"/>
  <c r="BC168" i="2"/>
  <c r="BD168" i="2"/>
  <c r="BE168" i="2"/>
  <c r="BF168" i="2"/>
  <c r="AM169" i="2"/>
  <c r="AN169" i="2"/>
  <c r="AO169" i="2"/>
  <c r="AP169" i="2"/>
  <c r="AQ169" i="2"/>
  <c r="AR169" i="2"/>
  <c r="AS169" i="2"/>
  <c r="AT169" i="2"/>
  <c r="AU169" i="2"/>
  <c r="AV169" i="2"/>
  <c r="AW169" i="2"/>
  <c r="AX169" i="2"/>
  <c r="AY169" i="2"/>
  <c r="AZ169" i="2"/>
  <c r="BA169" i="2"/>
  <c r="BB169" i="2"/>
  <c r="BC169" i="2"/>
  <c r="BD169" i="2"/>
  <c r="BE169" i="2"/>
  <c r="BF169" i="2"/>
  <c r="AM170" i="2"/>
  <c r="AN170" i="2"/>
  <c r="AO170" i="2"/>
  <c r="AP170" i="2"/>
  <c r="AQ170" i="2"/>
  <c r="AR170" i="2"/>
  <c r="AS170" i="2"/>
  <c r="AT170" i="2"/>
  <c r="AU170" i="2"/>
  <c r="AV170" i="2"/>
  <c r="AW170" i="2"/>
  <c r="AX170" i="2"/>
  <c r="AY170" i="2"/>
  <c r="AZ170" i="2"/>
  <c r="BA170" i="2"/>
  <c r="BB170" i="2"/>
  <c r="BC170" i="2"/>
  <c r="BD170" i="2"/>
  <c r="BE170" i="2"/>
  <c r="BF170" i="2"/>
  <c r="AM171" i="2"/>
  <c r="AN171" i="2"/>
  <c r="AO171" i="2"/>
  <c r="AP171" i="2"/>
  <c r="AQ171" i="2"/>
  <c r="AR171" i="2"/>
  <c r="AS171" i="2"/>
  <c r="AT171" i="2"/>
  <c r="AU171" i="2"/>
  <c r="AV171" i="2"/>
  <c r="AW171" i="2"/>
  <c r="AX171" i="2"/>
  <c r="AY171" i="2"/>
  <c r="AZ171" i="2"/>
  <c r="BA171" i="2"/>
  <c r="BB171" i="2"/>
  <c r="BC171" i="2"/>
  <c r="BD171" i="2"/>
  <c r="BE171" i="2"/>
  <c r="BF171" i="2"/>
  <c r="AM172" i="2"/>
  <c r="AN172" i="2"/>
  <c r="AO172" i="2"/>
  <c r="AP172" i="2"/>
  <c r="AQ172" i="2"/>
  <c r="AR172" i="2"/>
  <c r="AS172" i="2"/>
  <c r="AT172" i="2"/>
  <c r="AU172" i="2"/>
  <c r="AV172" i="2"/>
  <c r="AW172" i="2"/>
  <c r="AX172" i="2"/>
  <c r="AY172" i="2"/>
  <c r="AZ172" i="2"/>
  <c r="BA172" i="2"/>
  <c r="BB172" i="2"/>
  <c r="BC172" i="2"/>
  <c r="BD172" i="2"/>
  <c r="BE172" i="2"/>
  <c r="BF172" i="2"/>
  <c r="AM173" i="2"/>
  <c r="AN173" i="2"/>
  <c r="AO173" i="2"/>
  <c r="AP173" i="2"/>
  <c r="AQ173" i="2"/>
  <c r="AR173" i="2"/>
  <c r="AS173" i="2"/>
  <c r="AT173" i="2"/>
  <c r="AU173" i="2"/>
  <c r="AV173" i="2"/>
  <c r="AW173" i="2"/>
  <c r="AX173" i="2"/>
  <c r="AY173" i="2"/>
  <c r="AZ173" i="2"/>
  <c r="BA173" i="2"/>
  <c r="BB173" i="2"/>
  <c r="BC173" i="2"/>
  <c r="BD173" i="2"/>
  <c r="BE173" i="2"/>
  <c r="BF173" i="2"/>
  <c r="AM174" i="2"/>
  <c r="AN174" i="2"/>
  <c r="AO174" i="2"/>
  <c r="AP174" i="2"/>
  <c r="AQ174" i="2"/>
  <c r="AR174" i="2"/>
  <c r="AS174" i="2"/>
  <c r="AT174" i="2"/>
  <c r="AU174" i="2"/>
  <c r="AV174" i="2"/>
  <c r="AW174" i="2"/>
  <c r="AX174" i="2"/>
  <c r="AY174" i="2"/>
  <c r="AZ174" i="2"/>
  <c r="BA174" i="2"/>
  <c r="BB174" i="2"/>
  <c r="BC174" i="2"/>
  <c r="BD174" i="2"/>
  <c r="BE174" i="2"/>
  <c r="BF174" i="2"/>
  <c r="AM175" i="2"/>
  <c r="AN175" i="2"/>
  <c r="AO175" i="2"/>
  <c r="AP175" i="2"/>
  <c r="AQ175" i="2"/>
  <c r="AR175" i="2"/>
  <c r="AS175" i="2"/>
  <c r="AT175" i="2"/>
  <c r="AU175" i="2"/>
  <c r="AV175" i="2"/>
  <c r="AW175" i="2"/>
  <c r="AX175" i="2"/>
  <c r="AY175" i="2"/>
  <c r="AZ175" i="2"/>
  <c r="BA175" i="2"/>
  <c r="BB175" i="2"/>
  <c r="BC175" i="2"/>
  <c r="BD175" i="2"/>
  <c r="BE175" i="2"/>
  <c r="BF175" i="2"/>
  <c r="AM176" i="2"/>
  <c r="AN176" i="2"/>
  <c r="AO176" i="2"/>
  <c r="AP176" i="2"/>
  <c r="AQ176" i="2"/>
  <c r="AR176" i="2"/>
  <c r="AS176" i="2"/>
  <c r="AT176" i="2"/>
  <c r="AU176" i="2"/>
  <c r="AV176" i="2"/>
  <c r="AW176" i="2"/>
  <c r="AX176" i="2"/>
  <c r="AY176" i="2"/>
  <c r="AZ176" i="2"/>
  <c r="BA176" i="2"/>
  <c r="BB176" i="2"/>
  <c r="BC176" i="2"/>
  <c r="BD176" i="2"/>
  <c r="BE176" i="2"/>
  <c r="BF176" i="2"/>
  <c r="BF143" i="2"/>
  <c r="BE143" i="2"/>
  <c r="BD143" i="2"/>
  <c r="BC143" i="2"/>
  <c r="BB143" i="2"/>
  <c r="BA143" i="2"/>
  <c r="AZ143" i="2"/>
  <c r="AY143" i="2"/>
  <c r="AX143" i="2"/>
  <c r="AW143" i="2"/>
  <c r="AV143" i="2"/>
  <c r="AU143" i="2"/>
  <c r="AT143" i="2"/>
  <c r="AS143" i="2"/>
  <c r="AR143" i="2"/>
  <c r="AQ143" i="2"/>
  <c r="AP143" i="2"/>
  <c r="AO143" i="2"/>
  <c r="AN143" i="2"/>
  <c r="AM143" i="2"/>
  <c r="AC144" i="2"/>
  <c r="AF144" i="2"/>
  <c r="AG144" i="2"/>
  <c r="AC145" i="2"/>
  <c r="AF145" i="2"/>
  <c r="AG145" i="2"/>
  <c r="AC146" i="2"/>
  <c r="AF146" i="2"/>
  <c r="AG146" i="2"/>
  <c r="AC147" i="2"/>
  <c r="AF147" i="2"/>
  <c r="AG147" i="2"/>
  <c r="AC148" i="2"/>
  <c r="AF148" i="2"/>
  <c r="AG148" i="2"/>
  <c r="AC149" i="2"/>
  <c r="AD149" i="2" s="1"/>
  <c r="AF149" i="2"/>
  <c r="AG149" i="2"/>
  <c r="AC150" i="2"/>
  <c r="AD150" i="2" s="1"/>
  <c r="AF150" i="2"/>
  <c r="AG150" i="2"/>
  <c r="AC151" i="2"/>
  <c r="AD151" i="2" s="1"/>
  <c r="AF151" i="2"/>
  <c r="AG151" i="2"/>
  <c r="AC152" i="2"/>
  <c r="AD152" i="2" s="1"/>
  <c r="AF152" i="2"/>
  <c r="AG152" i="2"/>
  <c r="AC153" i="2"/>
  <c r="AD153" i="2" s="1"/>
  <c r="AF153" i="2"/>
  <c r="AG153" i="2"/>
  <c r="AC154" i="2"/>
  <c r="AD154" i="2" s="1"/>
  <c r="AF154" i="2"/>
  <c r="AG154" i="2"/>
  <c r="AC155" i="2"/>
  <c r="AD155" i="2" s="1"/>
  <c r="AF155" i="2"/>
  <c r="AG155" i="2"/>
  <c r="AC156" i="2"/>
  <c r="AD156" i="2" s="1"/>
  <c r="AF156" i="2"/>
  <c r="AG156" i="2"/>
  <c r="AC157" i="2"/>
  <c r="AD157" i="2" s="1"/>
  <c r="AF157" i="2"/>
  <c r="AG157" i="2"/>
  <c r="AC158" i="2"/>
  <c r="AD158" i="2" s="1"/>
  <c r="AF158" i="2"/>
  <c r="AG158" i="2"/>
  <c r="AC159" i="2"/>
  <c r="AD159" i="2" s="1"/>
  <c r="AF159" i="2"/>
  <c r="AG159" i="2"/>
  <c r="AC160" i="2"/>
  <c r="AD160" i="2" s="1"/>
  <c r="AF160" i="2"/>
  <c r="AG160" i="2"/>
  <c r="AC161" i="2"/>
  <c r="AD161" i="2" s="1"/>
  <c r="AF161" i="2"/>
  <c r="AG161" i="2"/>
  <c r="AC162" i="2"/>
  <c r="AD162" i="2" s="1"/>
  <c r="AF162" i="2"/>
  <c r="AG162" i="2"/>
  <c r="AC163" i="2"/>
  <c r="AD163" i="2" s="1"/>
  <c r="AF163" i="2"/>
  <c r="AG163" i="2"/>
  <c r="AC164" i="2"/>
  <c r="AD164" i="2" s="1"/>
  <c r="AF164" i="2"/>
  <c r="AG164" i="2"/>
  <c r="AC165" i="2"/>
  <c r="AD165" i="2" s="1"/>
  <c r="AF165" i="2"/>
  <c r="AG165" i="2"/>
  <c r="AC166" i="2"/>
  <c r="AD166" i="2" s="1"/>
  <c r="AF166" i="2"/>
  <c r="AG166" i="2"/>
  <c r="AC167" i="2"/>
  <c r="AD167" i="2" s="1"/>
  <c r="AF167" i="2"/>
  <c r="AG167" i="2"/>
  <c r="AC168" i="2"/>
  <c r="AD168" i="2" s="1"/>
  <c r="AF168" i="2"/>
  <c r="AG168" i="2"/>
  <c r="AC169" i="2"/>
  <c r="AD169" i="2" s="1"/>
  <c r="AF169" i="2"/>
  <c r="AG169" i="2"/>
  <c r="AC170" i="2"/>
  <c r="AD170" i="2" s="1"/>
  <c r="AF170" i="2"/>
  <c r="AG170" i="2"/>
  <c r="AC171" i="2"/>
  <c r="AD171" i="2" s="1"/>
  <c r="AF171" i="2"/>
  <c r="AG171" i="2"/>
  <c r="AC172" i="2"/>
  <c r="AD172" i="2" s="1"/>
  <c r="AF172" i="2"/>
  <c r="AG172" i="2"/>
  <c r="AC173" i="2"/>
  <c r="AD173" i="2" s="1"/>
  <c r="AF173" i="2"/>
  <c r="AG173" i="2"/>
  <c r="AC174" i="2"/>
  <c r="AD174" i="2" s="1"/>
  <c r="AF174" i="2"/>
  <c r="AG174" i="2"/>
  <c r="AC175" i="2"/>
  <c r="AD175" i="2" s="1"/>
  <c r="AF175" i="2"/>
  <c r="AG175" i="2"/>
  <c r="AC176" i="2"/>
  <c r="AD176" i="2" s="1"/>
  <c r="AF176" i="2"/>
  <c r="AG176" i="2"/>
  <c r="AG143" i="2"/>
  <c r="AF143" i="2"/>
  <c r="AC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43" i="2"/>
  <c r="B137" i="2"/>
  <c r="AF7" i="2"/>
  <c r="AG7" i="2"/>
  <c r="AF8" i="2"/>
  <c r="AG8" i="2"/>
  <c r="AF9" i="2"/>
  <c r="AG9" i="2"/>
  <c r="AF10" i="2"/>
  <c r="AG10" i="2"/>
  <c r="AF11" i="2"/>
  <c r="AG11" i="2"/>
  <c r="AF12" i="2"/>
  <c r="AG12" i="2"/>
  <c r="AF13" i="2"/>
  <c r="AG13" i="2"/>
  <c r="AF14" i="2"/>
  <c r="AG14" i="2"/>
  <c r="AF15" i="2"/>
  <c r="AG15" i="2"/>
  <c r="AF16" i="2"/>
  <c r="AG16" i="2"/>
  <c r="AF17" i="2"/>
  <c r="AG17" i="2"/>
  <c r="AF18" i="2"/>
  <c r="AG18" i="2"/>
  <c r="AF19" i="2"/>
  <c r="AG19" i="2"/>
  <c r="AF20" i="2"/>
  <c r="AG20" i="2"/>
  <c r="AF21" i="2"/>
  <c r="AG21" i="2"/>
  <c r="AF22" i="2"/>
  <c r="AG22" i="2"/>
  <c r="AF23" i="2"/>
  <c r="AG23" i="2"/>
  <c r="AF24" i="2"/>
  <c r="AG24" i="2"/>
  <c r="AF25" i="2"/>
  <c r="AG25" i="2"/>
  <c r="AF26" i="2"/>
  <c r="AG26" i="2"/>
  <c r="AF27" i="2"/>
  <c r="AG27" i="2"/>
  <c r="AF28" i="2"/>
  <c r="AG28" i="2"/>
  <c r="AF29" i="2"/>
  <c r="AG29" i="2"/>
  <c r="AF35" i="2"/>
  <c r="AG35" i="2"/>
  <c r="AF36" i="2"/>
  <c r="AG36" i="2"/>
  <c r="AF37" i="2"/>
  <c r="AG37" i="2"/>
  <c r="AF38" i="2"/>
  <c r="AG38" i="2"/>
  <c r="AF39" i="2"/>
  <c r="AG39" i="2"/>
  <c r="AF40" i="2"/>
  <c r="AG40" i="2"/>
  <c r="AF43" i="2"/>
  <c r="AG43" i="2"/>
  <c r="AF44" i="2"/>
  <c r="AG44" i="2"/>
  <c r="AF45" i="2"/>
  <c r="AG45" i="2"/>
  <c r="AF46" i="2"/>
  <c r="AG46" i="2"/>
  <c r="AF47" i="2"/>
  <c r="AG47" i="2"/>
  <c r="AF48" i="2"/>
  <c r="AG48" i="2"/>
  <c r="AF49" i="2"/>
  <c r="AG49" i="2"/>
  <c r="AF50" i="2"/>
  <c r="AG50" i="2"/>
  <c r="AF51" i="2"/>
  <c r="AG51" i="2"/>
  <c r="AF52" i="2"/>
  <c r="AG52" i="2"/>
  <c r="AF53" i="2"/>
  <c r="AG53" i="2"/>
  <c r="AF54" i="2"/>
  <c r="AG54" i="2"/>
  <c r="AF55" i="2"/>
  <c r="AG55" i="2"/>
  <c r="AF56" i="2"/>
  <c r="AG56" i="2"/>
  <c r="AF57" i="2"/>
  <c r="AG57" i="2"/>
  <c r="AF58" i="2"/>
  <c r="AG58" i="2"/>
  <c r="AF59" i="2"/>
  <c r="AG59" i="2"/>
  <c r="AF60" i="2"/>
  <c r="AG60" i="2"/>
  <c r="AF61" i="2"/>
  <c r="AG61" i="2"/>
  <c r="AF62" i="2"/>
  <c r="AG62" i="2"/>
  <c r="AF63" i="2"/>
  <c r="AG63" i="2"/>
  <c r="AF64" i="2"/>
  <c r="AG64" i="2"/>
  <c r="AF65" i="2"/>
  <c r="AG65" i="2"/>
  <c r="AF66" i="2"/>
  <c r="AG66" i="2"/>
  <c r="AF67" i="2"/>
  <c r="AG67" i="2"/>
  <c r="AF68" i="2"/>
  <c r="AG68" i="2"/>
  <c r="AF69" i="2"/>
  <c r="AG69" i="2"/>
  <c r="AF70" i="2"/>
  <c r="AG70" i="2"/>
  <c r="AF71" i="2"/>
  <c r="AG71" i="2"/>
  <c r="AF72" i="2"/>
  <c r="AG72" i="2"/>
  <c r="AF73" i="2"/>
  <c r="AG73" i="2"/>
  <c r="AF74" i="2"/>
  <c r="AG74" i="2"/>
  <c r="AF75" i="2"/>
  <c r="AG75" i="2"/>
  <c r="AF76" i="2"/>
  <c r="AG76" i="2"/>
  <c r="AF77" i="2"/>
  <c r="AG77" i="2"/>
  <c r="AF78" i="2"/>
  <c r="AG78" i="2"/>
  <c r="AF79" i="2"/>
  <c r="AG79" i="2"/>
  <c r="AF80" i="2"/>
  <c r="AG80" i="2"/>
  <c r="AF81" i="2"/>
  <c r="AG81" i="2"/>
  <c r="AF82" i="2"/>
  <c r="AG82" i="2"/>
  <c r="AF83" i="2"/>
  <c r="AG83" i="2"/>
  <c r="AF84" i="2"/>
  <c r="AG84" i="2"/>
  <c r="AF85" i="2"/>
  <c r="AG85" i="2"/>
  <c r="AF86" i="2"/>
  <c r="AG86" i="2"/>
  <c r="AF87" i="2"/>
  <c r="AG87" i="2"/>
  <c r="AF88" i="2"/>
  <c r="AG88" i="2"/>
  <c r="AF89" i="2"/>
  <c r="AG89" i="2"/>
  <c r="AF90" i="2"/>
  <c r="AG90" i="2"/>
  <c r="AF91" i="2"/>
  <c r="AG91" i="2"/>
  <c r="AF92" i="2"/>
  <c r="AG92" i="2"/>
  <c r="AF93" i="2"/>
  <c r="AG93" i="2"/>
  <c r="AF94" i="2"/>
  <c r="AG94" i="2"/>
  <c r="AF95" i="2"/>
  <c r="AG95" i="2"/>
  <c r="AF96" i="2"/>
  <c r="AG96" i="2"/>
  <c r="AF97" i="2"/>
  <c r="AG97" i="2"/>
  <c r="AF98" i="2"/>
  <c r="AG98" i="2"/>
  <c r="AF99" i="2"/>
  <c r="AG99" i="2"/>
  <c r="AF100" i="2"/>
  <c r="AG100" i="2"/>
  <c r="AF101" i="2"/>
  <c r="AG101" i="2"/>
  <c r="AF102" i="2"/>
  <c r="AG102" i="2"/>
  <c r="AF103" i="2"/>
  <c r="AG103" i="2"/>
  <c r="AF104" i="2"/>
  <c r="AG104" i="2"/>
  <c r="AF105" i="2"/>
  <c r="AG105" i="2"/>
  <c r="AF106" i="2"/>
  <c r="AG106" i="2"/>
  <c r="AF107" i="2"/>
  <c r="AG107" i="2"/>
  <c r="AF108" i="2"/>
  <c r="AG108" i="2"/>
  <c r="AF109" i="2"/>
  <c r="AG109" i="2"/>
  <c r="AF110" i="2"/>
  <c r="AG110" i="2"/>
  <c r="AF112" i="2"/>
  <c r="AG112" i="2"/>
  <c r="AF113" i="2"/>
  <c r="AG113" i="2"/>
  <c r="AF114" i="2"/>
  <c r="AG114" i="2"/>
  <c r="AF115" i="2"/>
  <c r="AG115" i="2"/>
  <c r="AF116" i="2"/>
  <c r="AG116" i="2"/>
  <c r="AF117" i="2"/>
  <c r="AG117" i="2"/>
  <c r="AF118" i="2"/>
  <c r="AG118" i="2"/>
  <c r="AF119" i="2"/>
  <c r="AG119" i="2"/>
  <c r="AF120" i="2"/>
  <c r="AG120" i="2"/>
  <c r="AF121" i="2"/>
  <c r="AG121" i="2"/>
  <c r="AF122" i="2"/>
  <c r="AG122" i="2"/>
  <c r="AF123" i="2"/>
  <c r="AG123" i="2"/>
  <c r="AF124" i="2"/>
  <c r="AG124" i="2"/>
  <c r="AF125" i="2"/>
  <c r="AG125" i="2"/>
  <c r="AF129" i="2"/>
  <c r="AG129" i="2"/>
  <c r="AF130" i="2"/>
  <c r="AG130" i="2"/>
  <c r="AF131" i="2"/>
  <c r="AG131" i="2"/>
  <c r="AF132" i="2"/>
  <c r="AG132" i="2"/>
  <c r="AF133" i="2"/>
  <c r="AG133" i="2"/>
  <c r="AF134" i="2"/>
  <c r="AG134" i="2"/>
  <c r="AF135" i="2"/>
  <c r="AG135" i="2"/>
  <c r="AF136" i="2"/>
  <c r="AG136" i="2"/>
  <c r="AF137" i="2"/>
  <c r="AG137" i="2"/>
  <c r="AF138" i="2"/>
  <c r="AG138" i="2"/>
  <c r="AF139" i="2"/>
  <c r="AG139" i="2"/>
  <c r="AG6" i="2"/>
  <c r="AF6" i="2"/>
  <c r="B26" i="3"/>
  <c r="B27" i="3"/>
  <c r="B28" i="3"/>
  <c r="B29" i="3"/>
  <c r="B30" i="3"/>
  <c r="B31" i="3"/>
  <c r="B32" i="3"/>
  <c r="B33" i="3"/>
  <c r="B34" i="3"/>
  <c r="B25" i="3"/>
  <c r="B16" i="3"/>
  <c r="B17" i="3"/>
  <c r="B18" i="3"/>
  <c r="B19" i="3"/>
  <c r="B20" i="3"/>
  <c r="B21" i="3"/>
  <c r="B22" i="3"/>
  <c r="B23" i="3"/>
  <c r="B24" i="3"/>
  <c r="B15" i="3"/>
  <c r="B6" i="3"/>
  <c r="B7" i="3"/>
  <c r="B8" i="3"/>
  <c r="B9" i="3"/>
  <c r="B10" i="3"/>
  <c r="B11" i="3"/>
  <c r="B12" i="3"/>
  <c r="B13" i="3"/>
  <c r="B14" i="3"/>
  <c r="B5" i="3"/>
  <c r="H138" i="2"/>
  <c r="AC138" i="2" s="1"/>
  <c r="AD138" i="2" s="1"/>
  <c r="H139" i="2"/>
  <c r="AC139" i="2" s="1"/>
  <c r="H137" i="2"/>
  <c r="AC137" i="2" s="1"/>
  <c r="AD137" i="2" s="1"/>
  <c r="H50" i="2"/>
  <c r="AC50" i="2" s="1"/>
  <c r="AD50" i="2" s="1"/>
  <c r="H51" i="2"/>
  <c r="AC51" i="2" s="1"/>
  <c r="AD51" i="2" s="1"/>
  <c r="H52" i="2"/>
  <c r="AC52" i="2" s="1"/>
  <c r="AD52" i="2" s="1"/>
  <c r="H53" i="2"/>
  <c r="AC53" i="2" s="1"/>
  <c r="AD53" i="2" s="1"/>
  <c r="H54" i="2"/>
  <c r="AC54" i="2" s="1"/>
  <c r="AD54" i="2" s="1"/>
  <c r="H55" i="2"/>
  <c r="AC55" i="2" s="1"/>
  <c r="H49" i="2"/>
  <c r="AC49" i="2" s="1"/>
  <c r="AD49" i="2" s="1"/>
  <c r="F107" i="2"/>
  <c r="F106" i="2"/>
  <c r="H106" i="2"/>
  <c r="AC106" i="2" s="1"/>
  <c r="AD106" i="2" s="1"/>
  <c r="H107" i="2"/>
  <c r="AC107" i="2" s="1"/>
  <c r="AD107" i="2" s="1"/>
  <c r="H108" i="2"/>
  <c r="AC108" i="2" s="1"/>
  <c r="AD108" i="2" s="1"/>
  <c r="H105" i="2"/>
  <c r="AC105" i="2" s="1"/>
  <c r="AD105" i="2" s="1"/>
  <c r="H47" i="2"/>
  <c r="AC47" i="2" s="1"/>
  <c r="AD47" i="2" s="1"/>
  <c r="H48" i="2"/>
  <c r="AC48" i="2" s="1"/>
  <c r="H46" i="2"/>
  <c r="AC46" i="2" s="1"/>
  <c r="AD46" i="2" s="1"/>
  <c r="H120" i="2"/>
  <c r="AC120" i="2" s="1"/>
  <c r="AD120" i="2" s="1"/>
  <c r="H121" i="2"/>
  <c r="AC121" i="2" s="1"/>
  <c r="AD121" i="2" s="1"/>
  <c r="H119" i="2"/>
  <c r="AC119" i="2" s="1"/>
  <c r="F69" i="2"/>
  <c r="F68" i="2"/>
  <c r="F74" i="2"/>
  <c r="F73" i="2"/>
  <c r="H74" i="2"/>
  <c r="AC74" i="2" s="1"/>
  <c r="AD74" i="2" s="1"/>
  <c r="H73" i="2"/>
  <c r="AC73" i="2" s="1"/>
  <c r="AD73" i="2" s="1"/>
  <c r="H69" i="2"/>
  <c r="AC69" i="2" s="1"/>
  <c r="AD69" i="2" s="1"/>
  <c r="H66" i="2"/>
  <c r="AC66" i="2" s="1"/>
  <c r="H67" i="2"/>
  <c r="AC67" i="2" s="1"/>
  <c r="AD67" i="2" s="1"/>
  <c r="H68" i="2"/>
  <c r="AC68" i="2" s="1"/>
  <c r="AD68" i="2" s="1"/>
  <c r="H65" i="2"/>
  <c r="AC65" i="2" s="1"/>
  <c r="F76" i="2"/>
  <c r="F77" i="2"/>
  <c r="F78" i="2"/>
  <c r="F79" i="2"/>
  <c r="F80" i="2"/>
  <c r="F81" i="2"/>
  <c r="F82" i="2"/>
  <c r="H76" i="2"/>
  <c r="AC76" i="2" s="1"/>
  <c r="H77" i="2"/>
  <c r="AC77" i="2" s="1"/>
  <c r="AD77" i="2" s="1"/>
  <c r="H78" i="2"/>
  <c r="AC78" i="2" s="1"/>
  <c r="AD78" i="2" s="1"/>
  <c r="H79" i="2"/>
  <c r="AC79" i="2" s="1"/>
  <c r="AD79" i="2" s="1"/>
  <c r="H80" i="2"/>
  <c r="AC80" i="2" s="1"/>
  <c r="AD80" i="2" s="1"/>
  <c r="H81" i="2"/>
  <c r="AC81" i="2" s="1"/>
  <c r="AD81" i="2" s="1"/>
  <c r="H82" i="2"/>
  <c r="AC82" i="2" s="1"/>
  <c r="AD82" i="2" s="1"/>
  <c r="F75" i="2"/>
  <c r="H75" i="2"/>
  <c r="AC75" i="2" s="1"/>
  <c r="AD75" i="2" s="1"/>
  <c r="H40" i="2"/>
  <c r="AC40" i="2" s="1"/>
  <c r="AD40" i="2" s="1"/>
  <c r="BF43" i="2"/>
  <c r="BE43" i="2"/>
  <c r="BD43" i="2"/>
  <c r="BC43" i="2"/>
  <c r="BB43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H29" i="2"/>
  <c r="AC29" i="2" s="1"/>
  <c r="AD29" i="2" s="1"/>
  <c r="H38" i="2"/>
  <c r="AC38" i="2" s="1"/>
  <c r="AD38" i="2" s="1"/>
  <c r="H39" i="2"/>
  <c r="AC39" i="2" s="1"/>
  <c r="AD39" i="2" s="1"/>
  <c r="BF38" i="2"/>
  <c r="BE38" i="2"/>
  <c r="BD38" i="2"/>
  <c r="BC38" i="2"/>
  <c r="BB38" i="2"/>
  <c r="BA38" i="2"/>
  <c r="AZ38" i="2"/>
  <c r="AY38" i="2"/>
  <c r="AX38" i="2"/>
  <c r="AW38" i="2"/>
  <c r="AV38" i="2"/>
  <c r="AU38" i="2"/>
  <c r="AT38" i="2"/>
  <c r="AS38" i="2"/>
  <c r="AR38" i="2"/>
  <c r="AQ38" i="2"/>
  <c r="AP38" i="2"/>
  <c r="AO38" i="2"/>
  <c r="AN38" i="2"/>
  <c r="AM38" i="2"/>
  <c r="H37" i="2"/>
  <c r="AC37" i="2" s="1"/>
  <c r="F71" i="2"/>
  <c r="F70" i="2"/>
  <c r="F60" i="2"/>
  <c r="F7" i="2"/>
  <c r="F8" i="2"/>
  <c r="F9" i="2"/>
  <c r="H7" i="2"/>
  <c r="AC7" i="2" s="1"/>
  <c r="AD7" i="2" s="1"/>
  <c r="H8" i="2"/>
  <c r="AC8" i="2" s="1"/>
  <c r="H9" i="2"/>
  <c r="AC9" i="2" s="1"/>
  <c r="AD9" i="2" s="1"/>
  <c r="F6" i="2"/>
  <c r="H6" i="2"/>
  <c r="AC6" i="2" s="1"/>
  <c r="AC15" i="2"/>
  <c r="AD15" i="2" s="1"/>
  <c r="AC16" i="2"/>
  <c r="AD16" i="2" s="1"/>
  <c r="AC17" i="2"/>
  <c r="AD17" i="2" s="1"/>
  <c r="AC18" i="2"/>
  <c r="AD18" i="2" s="1"/>
  <c r="AC20" i="2"/>
  <c r="AD20" i="2" s="1"/>
  <c r="AC22" i="2"/>
  <c r="AD22" i="2" s="1"/>
  <c r="AC24" i="2"/>
  <c r="AD24" i="2" s="1"/>
  <c r="AC25" i="2"/>
  <c r="AD25" i="2" s="1"/>
  <c r="AC26" i="2"/>
  <c r="AD26" i="2" s="1"/>
  <c r="AC45" i="2"/>
  <c r="G6" i="6" s="1"/>
  <c r="AC56" i="2"/>
  <c r="AD56" i="2" s="1"/>
  <c r="AC57" i="2"/>
  <c r="AD57" i="2" s="1"/>
  <c r="AC61" i="2"/>
  <c r="AD61" i="2" s="1"/>
  <c r="AC63" i="2"/>
  <c r="AD63" i="2" s="1"/>
  <c r="AC83" i="2"/>
  <c r="AD83" i="2" s="1"/>
  <c r="AC84" i="2"/>
  <c r="AD84" i="2" s="1"/>
  <c r="AC85" i="2"/>
  <c r="AD85" i="2" s="1"/>
  <c r="AC86" i="2"/>
  <c r="AD86" i="2" s="1"/>
  <c r="AC87" i="2"/>
  <c r="AD87" i="2" s="1"/>
  <c r="AC88" i="2"/>
  <c r="AD88" i="2" s="1"/>
  <c r="AC89" i="2"/>
  <c r="AD89" i="2" s="1"/>
  <c r="AC90" i="2"/>
  <c r="AD90" i="2" s="1"/>
  <c r="AC91" i="2"/>
  <c r="AD91" i="2" s="1"/>
  <c r="AC92" i="2"/>
  <c r="AD92" i="2" s="1"/>
  <c r="AC93" i="2"/>
  <c r="AD93" i="2" s="1"/>
  <c r="AC94" i="2"/>
  <c r="AD94" i="2" s="1"/>
  <c r="AC97" i="2"/>
  <c r="AD97" i="2" s="1"/>
  <c r="AC98" i="2"/>
  <c r="AD98" i="2" s="1"/>
  <c r="AC100" i="2"/>
  <c r="AD100" i="2" s="1"/>
  <c r="AC102" i="2"/>
  <c r="AD102" i="2" s="1"/>
  <c r="AC109" i="2"/>
  <c r="AD109" i="2" s="1"/>
  <c r="AC110" i="2"/>
  <c r="AD110" i="2" s="1"/>
  <c r="AC112" i="2"/>
  <c r="AD112" i="2" s="1"/>
  <c r="AC113" i="2"/>
  <c r="AD113" i="2" s="1"/>
  <c r="AC114" i="2"/>
  <c r="AD114" i="2" s="1"/>
  <c r="AC115" i="2"/>
  <c r="AD115" i="2" s="1"/>
  <c r="AC116" i="2"/>
  <c r="AD116" i="2" s="1"/>
  <c r="AC117" i="2"/>
  <c r="AD117" i="2" s="1"/>
  <c r="AC118" i="2"/>
  <c r="AD118" i="2" s="1"/>
  <c r="AC122" i="2"/>
  <c r="AD122" i="2" s="1"/>
  <c r="AC125" i="2"/>
  <c r="AD125" i="2" s="1"/>
  <c r="AC129" i="2"/>
  <c r="AD129" i="2" s="1"/>
  <c r="AC132" i="2"/>
  <c r="AD132" i="2" s="1"/>
  <c r="AC133" i="2"/>
  <c r="AD133" i="2" s="1"/>
  <c r="AC134" i="2"/>
  <c r="AD134" i="2" s="1"/>
  <c r="AC135" i="2"/>
  <c r="AD135" i="2" s="1"/>
  <c r="AC136" i="2"/>
  <c r="AD136" i="2" s="1"/>
  <c r="B6" i="2"/>
  <c r="AM6" i="2" s="1"/>
  <c r="B14" i="2"/>
  <c r="AM14" i="2" s="1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F29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BD45" i="2"/>
  <c r="BE45" i="2"/>
  <c r="BF45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BD54" i="2"/>
  <c r="BE54" i="2"/>
  <c r="BF54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BD55" i="2"/>
  <c r="BE55" i="2"/>
  <c r="BF55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BD56" i="2"/>
  <c r="BE56" i="2"/>
  <c r="BF56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BD57" i="2"/>
  <c r="BE57" i="2"/>
  <c r="BF57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BD58" i="2"/>
  <c r="BE58" i="2"/>
  <c r="BF58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BD59" i="2"/>
  <c r="BE59" i="2"/>
  <c r="BF59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BD61" i="2"/>
  <c r="BE61" i="2"/>
  <c r="BF61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BD62" i="2"/>
  <c r="BE62" i="2"/>
  <c r="BF62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BD63" i="2"/>
  <c r="BE63" i="2"/>
  <c r="BF63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AM66" i="2"/>
  <c r="AN66" i="2"/>
  <c r="AO66" i="2"/>
  <c r="AP66" i="2"/>
  <c r="AQ66" i="2"/>
  <c r="AR66" i="2"/>
  <c r="AS66" i="2"/>
  <c r="AT66" i="2"/>
  <c r="AU66" i="2"/>
  <c r="AV66" i="2"/>
  <c r="AW66" i="2"/>
  <c r="AX66" i="2"/>
  <c r="AY66" i="2"/>
  <c r="AZ66" i="2"/>
  <c r="BA66" i="2"/>
  <c r="BB66" i="2"/>
  <c r="BC66" i="2"/>
  <c r="BD66" i="2"/>
  <c r="BE66" i="2"/>
  <c r="BF66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BD67" i="2"/>
  <c r="BE67" i="2"/>
  <c r="BF67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AY68" i="2"/>
  <c r="AZ68" i="2"/>
  <c r="BA68" i="2"/>
  <c r="BB68" i="2"/>
  <c r="BC68" i="2"/>
  <c r="BD68" i="2"/>
  <c r="BE68" i="2"/>
  <c r="BF68" i="2"/>
  <c r="AM69" i="2"/>
  <c r="AN69" i="2"/>
  <c r="AO69" i="2"/>
  <c r="AP69" i="2"/>
  <c r="AQ69" i="2"/>
  <c r="AR69" i="2"/>
  <c r="AS69" i="2"/>
  <c r="AT69" i="2"/>
  <c r="AU69" i="2"/>
  <c r="AV69" i="2"/>
  <c r="AW69" i="2"/>
  <c r="AX69" i="2"/>
  <c r="AY69" i="2"/>
  <c r="AZ69" i="2"/>
  <c r="BA69" i="2"/>
  <c r="BB69" i="2"/>
  <c r="BC69" i="2"/>
  <c r="BD69" i="2"/>
  <c r="BE69" i="2"/>
  <c r="BF69" i="2"/>
  <c r="AM70" i="2"/>
  <c r="AN70" i="2"/>
  <c r="AO70" i="2"/>
  <c r="AP70" i="2"/>
  <c r="AQ70" i="2"/>
  <c r="AR70" i="2"/>
  <c r="AS70" i="2"/>
  <c r="AT70" i="2"/>
  <c r="AU70" i="2"/>
  <c r="AV70" i="2"/>
  <c r="AW70" i="2"/>
  <c r="AX70" i="2"/>
  <c r="AY70" i="2"/>
  <c r="AZ70" i="2"/>
  <c r="BA70" i="2"/>
  <c r="BB70" i="2"/>
  <c r="BC70" i="2"/>
  <c r="BD70" i="2"/>
  <c r="BE70" i="2"/>
  <c r="BF70" i="2"/>
  <c r="AM71" i="2"/>
  <c r="AN71" i="2"/>
  <c r="AO71" i="2"/>
  <c r="AP71" i="2"/>
  <c r="AQ71" i="2"/>
  <c r="AR71" i="2"/>
  <c r="AS71" i="2"/>
  <c r="AT71" i="2"/>
  <c r="AU71" i="2"/>
  <c r="AV71" i="2"/>
  <c r="AW71" i="2"/>
  <c r="AX71" i="2"/>
  <c r="AY71" i="2"/>
  <c r="AZ71" i="2"/>
  <c r="BA71" i="2"/>
  <c r="BB71" i="2"/>
  <c r="BC71" i="2"/>
  <c r="BD71" i="2"/>
  <c r="BE71" i="2"/>
  <c r="BF71" i="2"/>
  <c r="AM72" i="2"/>
  <c r="AN72" i="2"/>
  <c r="AO72" i="2"/>
  <c r="AP72" i="2"/>
  <c r="AQ72" i="2"/>
  <c r="AR72" i="2"/>
  <c r="AS72" i="2"/>
  <c r="AT72" i="2"/>
  <c r="AU72" i="2"/>
  <c r="AV72" i="2"/>
  <c r="AW72" i="2"/>
  <c r="AX72" i="2"/>
  <c r="AY72" i="2"/>
  <c r="AZ72" i="2"/>
  <c r="BA72" i="2"/>
  <c r="BB72" i="2"/>
  <c r="BC72" i="2"/>
  <c r="BD72" i="2"/>
  <c r="BE72" i="2"/>
  <c r="BF72" i="2"/>
  <c r="AM73" i="2"/>
  <c r="AN73" i="2"/>
  <c r="AO73" i="2"/>
  <c r="AP73" i="2"/>
  <c r="AQ73" i="2"/>
  <c r="AR73" i="2"/>
  <c r="AS73" i="2"/>
  <c r="AT73" i="2"/>
  <c r="AU73" i="2"/>
  <c r="AV73" i="2"/>
  <c r="AW73" i="2"/>
  <c r="AX73" i="2"/>
  <c r="AY73" i="2"/>
  <c r="AZ73" i="2"/>
  <c r="BA73" i="2"/>
  <c r="BB73" i="2"/>
  <c r="BC73" i="2"/>
  <c r="BD73" i="2"/>
  <c r="BE73" i="2"/>
  <c r="BF73" i="2"/>
  <c r="AM74" i="2"/>
  <c r="AN74" i="2"/>
  <c r="AO74" i="2"/>
  <c r="AP74" i="2"/>
  <c r="AQ74" i="2"/>
  <c r="AR74" i="2"/>
  <c r="AS74" i="2"/>
  <c r="AT74" i="2"/>
  <c r="AU74" i="2"/>
  <c r="AV74" i="2"/>
  <c r="AW74" i="2"/>
  <c r="AX74" i="2"/>
  <c r="AY74" i="2"/>
  <c r="AZ74" i="2"/>
  <c r="BA74" i="2"/>
  <c r="BB74" i="2"/>
  <c r="BC74" i="2"/>
  <c r="BD74" i="2"/>
  <c r="BE74" i="2"/>
  <c r="BF74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BD75" i="2"/>
  <c r="BE75" i="2"/>
  <c r="BF75" i="2"/>
  <c r="AM76" i="2"/>
  <c r="AN76" i="2"/>
  <c r="AO76" i="2"/>
  <c r="AP76" i="2"/>
  <c r="AQ76" i="2"/>
  <c r="AR76" i="2"/>
  <c r="AS76" i="2"/>
  <c r="AT76" i="2"/>
  <c r="AU76" i="2"/>
  <c r="AV76" i="2"/>
  <c r="AW76" i="2"/>
  <c r="AX76" i="2"/>
  <c r="AY76" i="2"/>
  <c r="AZ76" i="2"/>
  <c r="BA76" i="2"/>
  <c r="BB76" i="2"/>
  <c r="BC76" i="2"/>
  <c r="BD76" i="2"/>
  <c r="BE76" i="2"/>
  <c r="BF76" i="2"/>
  <c r="AM77" i="2"/>
  <c r="AN77" i="2"/>
  <c r="AO77" i="2"/>
  <c r="AP77" i="2"/>
  <c r="AQ77" i="2"/>
  <c r="AR77" i="2"/>
  <c r="AS77" i="2"/>
  <c r="AT77" i="2"/>
  <c r="AU77" i="2"/>
  <c r="AV77" i="2"/>
  <c r="AW77" i="2"/>
  <c r="AX77" i="2"/>
  <c r="AY77" i="2"/>
  <c r="AZ77" i="2"/>
  <c r="BA77" i="2"/>
  <c r="BB77" i="2"/>
  <c r="BC77" i="2"/>
  <c r="BD77" i="2"/>
  <c r="BE77" i="2"/>
  <c r="BF77" i="2"/>
  <c r="AM78" i="2"/>
  <c r="AN78" i="2"/>
  <c r="AO78" i="2"/>
  <c r="AP78" i="2"/>
  <c r="AQ78" i="2"/>
  <c r="AR78" i="2"/>
  <c r="AS78" i="2"/>
  <c r="AT78" i="2"/>
  <c r="AU78" i="2"/>
  <c r="AV78" i="2"/>
  <c r="AW78" i="2"/>
  <c r="AX78" i="2"/>
  <c r="AY78" i="2"/>
  <c r="AZ78" i="2"/>
  <c r="BA78" i="2"/>
  <c r="BB78" i="2"/>
  <c r="BC78" i="2"/>
  <c r="BD78" i="2"/>
  <c r="BE78" i="2"/>
  <c r="BF78" i="2"/>
  <c r="AM79" i="2"/>
  <c r="AN79" i="2"/>
  <c r="AO79" i="2"/>
  <c r="AP79" i="2"/>
  <c r="AQ79" i="2"/>
  <c r="AR79" i="2"/>
  <c r="AS79" i="2"/>
  <c r="AT79" i="2"/>
  <c r="AU79" i="2"/>
  <c r="AV79" i="2"/>
  <c r="AW79" i="2"/>
  <c r="AX79" i="2"/>
  <c r="AY79" i="2"/>
  <c r="AZ79" i="2"/>
  <c r="BA79" i="2"/>
  <c r="BB79" i="2"/>
  <c r="BC79" i="2"/>
  <c r="BD79" i="2"/>
  <c r="BE79" i="2"/>
  <c r="BF79" i="2"/>
  <c r="AM80" i="2"/>
  <c r="AN80" i="2"/>
  <c r="AO80" i="2"/>
  <c r="AP80" i="2"/>
  <c r="AQ80" i="2"/>
  <c r="AR80" i="2"/>
  <c r="AS80" i="2"/>
  <c r="AT80" i="2"/>
  <c r="AU80" i="2"/>
  <c r="AV80" i="2"/>
  <c r="AW80" i="2"/>
  <c r="AX80" i="2"/>
  <c r="AY80" i="2"/>
  <c r="AZ80" i="2"/>
  <c r="BA80" i="2"/>
  <c r="BB80" i="2"/>
  <c r="BC80" i="2"/>
  <c r="BD80" i="2"/>
  <c r="BE80" i="2"/>
  <c r="BF80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AY81" i="2"/>
  <c r="AZ81" i="2"/>
  <c r="BA81" i="2"/>
  <c r="BB81" i="2"/>
  <c r="BC81" i="2"/>
  <c r="BD81" i="2"/>
  <c r="BE81" i="2"/>
  <c r="BF81" i="2"/>
  <c r="AM82" i="2"/>
  <c r="AN82" i="2"/>
  <c r="AO82" i="2"/>
  <c r="AP82" i="2"/>
  <c r="AQ82" i="2"/>
  <c r="AR82" i="2"/>
  <c r="AS82" i="2"/>
  <c r="AT82" i="2"/>
  <c r="AU82" i="2"/>
  <c r="AV82" i="2"/>
  <c r="AW82" i="2"/>
  <c r="AX82" i="2"/>
  <c r="AY82" i="2"/>
  <c r="AZ82" i="2"/>
  <c r="BA82" i="2"/>
  <c r="BB82" i="2"/>
  <c r="BC82" i="2"/>
  <c r="BD82" i="2"/>
  <c r="BE82" i="2"/>
  <c r="BF82" i="2"/>
  <c r="AM83" i="2"/>
  <c r="AN83" i="2"/>
  <c r="AO83" i="2"/>
  <c r="AP83" i="2"/>
  <c r="AQ83" i="2"/>
  <c r="AR83" i="2"/>
  <c r="AS83" i="2"/>
  <c r="AT83" i="2"/>
  <c r="AU83" i="2"/>
  <c r="AV83" i="2"/>
  <c r="AW83" i="2"/>
  <c r="AX83" i="2"/>
  <c r="AY83" i="2"/>
  <c r="AZ83" i="2"/>
  <c r="BA83" i="2"/>
  <c r="BB83" i="2"/>
  <c r="BC83" i="2"/>
  <c r="BD83" i="2"/>
  <c r="BE83" i="2"/>
  <c r="BF83" i="2"/>
  <c r="AM84" i="2"/>
  <c r="AN84" i="2"/>
  <c r="AO84" i="2"/>
  <c r="AP84" i="2"/>
  <c r="AQ84" i="2"/>
  <c r="AR84" i="2"/>
  <c r="AS84" i="2"/>
  <c r="AT84" i="2"/>
  <c r="AU84" i="2"/>
  <c r="AV84" i="2"/>
  <c r="AW84" i="2"/>
  <c r="AX84" i="2"/>
  <c r="AY84" i="2"/>
  <c r="AZ84" i="2"/>
  <c r="BA84" i="2"/>
  <c r="BB84" i="2"/>
  <c r="BC84" i="2"/>
  <c r="BD84" i="2"/>
  <c r="BE84" i="2"/>
  <c r="BF84" i="2"/>
  <c r="AM85" i="2"/>
  <c r="AN85" i="2"/>
  <c r="AO85" i="2"/>
  <c r="AP85" i="2"/>
  <c r="AQ85" i="2"/>
  <c r="AR85" i="2"/>
  <c r="AS85" i="2"/>
  <c r="AT85" i="2"/>
  <c r="AU85" i="2"/>
  <c r="AV85" i="2"/>
  <c r="AW85" i="2"/>
  <c r="AX85" i="2"/>
  <c r="AY85" i="2"/>
  <c r="AZ85" i="2"/>
  <c r="BA85" i="2"/>
  <c r="BB85" i="2"/>
  <c r="BC85" i="2"/>
  <c r="BD85" i="2"/>
  <c r="BE85" i="2"/>
  <c r="BF85" i="2"/>
  <c r="AM86" i="2"/>
  <c r="AN86" i="2"/>
  <c r="AO86" i="2"/>
  <c r="AP86" i="2"/>
  <c r="AQ86" i="2"/>
  <c r="AR86" i="2"/>
  <c r="AS86" i="2"/>
  <c r="AT86" i="2"/>
  <c r="AU86" i="2"/>
  <c r="AV86" i="2"/>
  <c r="AW86" i="2"/>
  <c r="AX86" i="2"/>
  <c r="AY86" i="2"/>
  <c r="AZ86" i="2"/>
  <c r="BA86" i="2"/>
  <c r="BB86" i="2"/>
  <c r="BC86" i="2"/>
  <c r="BD86" i="2"/>
  <c r="BE86" i="2"/>
  <c r="BF86" i="2"/>
  <c r="AM87" i="2"/>
  <c r="AN87" i="2"/>
  <c r="AO87" i="2"/>
  <c r="AP87" i="2"/>
  <c r="AQ87" i="2"/>
  <c r="AR87" i="2"/>
  <c r="AS87" i="2"/>
  <c r="AT87" i="2"/>
  <c r="AU87" i="2"/>
  <c r="AV87" i="2"/>
  <c r="AW87" i="2"/>
  <c r="AX87" i="2"/>
  <c r="AY87" i="2"/>
  <c r="AZ87" i="2"/>
  <c r="BA87" i="2"/>
  <c r="BB87" i="2"/>
  <c r="BC87" i="2"/>
  <c r="BD87" i="2"/>
  <c r="BE87" i="2"/>
  <c r="BF87" i="2"/>
  <c r="AM88" i="2"/>
  <c r="AN88" i="2"/>
  <c r="AO88" i="2"/>
  <c r="AP88" i="2"/>
  <c r="AQ88" i="2"/>
  <c r="AR88" i="2"/>
  <c r="AS88" i="2"/>
  <c r="AT88" i="2"/>
  <c r="AU88" i="2"/>
  <c r="AV88" i="2"/>
  <c r="AW88" i="2"/>
  <c r="AX88" i="2"/>
  <c r="AY88" i="2"/>
  <c r="AZ88" i="2"/>
  <c r="BA88" i="2"/>
  <c r="BB88" i="2"/>
  <c r="BC88" i="2"/>
  <c r="BD88" i="2"/>
  <c r="BE88" i="2"/>
  <c r="BF88" i="2"/>
  <c r="AM89" i="2"/>
  <c r="AN89" i="2"/>
  <c r="AO89" i="2"/>
  <c r="AP89" i="2"/>
  <c r="AQ89" i="2"/>
  <c r="AR89" i="2"/>
  <c r="AS89" i="2"/>
  <c r="AT89" i="2"/>
  <c r="AU89" i="2"/>
  <c r="AV89" i="2"/>
  <c r="AW89" i="2"/>
  <c r="AX89" i="2"/>
  <c r="AY89" i="2"/>
  <c r="AZ89" i="2"/>
  <c r="BA89" i="2"/>
  <c r="BB89" i="2"/>
  <c r="BC89" i="2"/>
  <c r="BD89" i="2"/>
  <c r="BE89" i="2"/>
  <c r="BF89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AY90" i="2"/>
  <c r="AZ90" i="2"/>
  <c r="BA90" i="2"/>
  <c r="BB90" i="2"/>
  <c r="BC90" i="2"/>
  <c r="BD90" i="2"/>
  <c r="BE90" i="2"/>
  <c r="BF90" i="2"/>
  <c r="AM91" i="2"/>
  <c r="AN91" i="2"/>
  <c r="AO91" i="2"/>
  <c r="AP91" i="2"/>
  <c r="AQ91" i="2"/>
  <c r="AR91" i="2"/>
  <c r="AS91" i="2"/>
  <c r="AT91" i="2"/>
  <c r="AU91" i="2"/>
  <c r="AV91" i="2"/>
  <c r="AW91" i="2"/>
  <c r="AX91" i="2"/>
  <c r="AY91" i="2"/>
  <c r="AZ91" i="2"/>
  <c r="BA91" i="2"/>
  <c r="BB91" i="2"/>
  <c r="BC91" i="2"/>
  <c r="BD91" i="2"/>
  <c r="BE91" i="2"/>
  <c r="BF91" i="2"/>
  <c r="AM92" i="2"/>
  <c r="AN92" i="2"/>
  <c r="AO92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B92" i="2"/>
  <c r="BC92" i="2"/>
  <c r="BD92" i="2"/>
  <c r="BE92" i="2"/>
  <c r="BF92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AY93" i="2"/>
  <c r="AZ93" i="2"/>
  <c r="BA93" i="2"/>
  <c r="BB93" i="2"/>
  <c r="BC93" i="2"/>
  <c r="BD93" i="2"/>
  <c r="BE93" i="2"/>
  <c r="BF93" i="2"/>
  <c r="AM94" i="2"/>
  <c r="AN94" i="2"/>
  <c r="AO94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B94" i="2"/>
  <c r="BC94" i="2"/>
  <c r="BD94" i="2"/>
  <c r="BE94" i="2"/>
  <c r="BF94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AY97" i="2"/>
  <c r="AZ97" i="2"/>
  <c r="BA97" i="2"/>
  <c r="BB97" i="2"/>
  <c r="BC97" i="2"/>
  <c r="BD97" i="2"/>
  <c r="BE97" i="2"/>
  <c r="BF97" i="2"/>
  <c r="AM98" i="2"/>
  <c r="AN98" i="2"/>
  <c r="AO98" i="2"/>
  <c r="AP98" i="2"/>
  <c r="AQ98" i="2"/>
  <c r="AR98" i="2"/>
  <c r="AS98" i="2"/>
  <c r="AT98" i="2"/>
  <c r="AU98" i="2"/>
  <c r="AV98" i="2"/>
  <c r="AW98" i="2"/>
  <c r="AX98" i="2"/>
  <c r="AY98" i="2"/>
  <c r="AZ98" i="2"/>
  <c r="BA98" i="2"/>
  <c r="BB98" i="2"/>
  <c r="BC98" i="2"/>
  <c r="BD98" i="2"/>
  <c r="BE98" i="2"/>
  <c r="BF98" i="2"/>
  <c r="AM99" i="2"/>
  <c r="AN99" i="2"/>
  <c r="AO99" i="2"/>
  <c r="AP99" i="2"/>
  <c r="AQ99" i="2"/>
  <c r="AR99" i="2"/>
  <c r="AS99" i="2"/>
  <c r="AT99" i="2"/>
  <c r="AU99" i="2"/>
  <c r="AV99" i="2"/>
  <c r="AW99" i="2"/>
  <c r="AX99" i="2"/>
  <c r="AY99" i="2"/>
  <c r="AZ99" i="2"/>
  <c r="BA99" i="2"/>
  <c r="BB99" i="2"/>
  <c r="BC99" i="2"/>
  <c r="BD99" i="2"/>
  <c r="BE99" i="2"/>
  <c r="BF99" i="2"/>
  <c r="AM100" i="2"/>
  <c r="AN100" i="2"/>
  <c r="AO100" i="2"/>
  <c r="AP100" i="2"/>
  <c r="AQ100" i="2"/>
  <c r="AR100" i="2"/>
  <c r="AS100" i="2"/>
  <c r="AT100" i="2"/>
  <c r="AU100" i="2"/>
  <c r="AV100" i="2"/>
  <c r="AW100" i="2"/>
  <c r="AX100" i="2"/>
  <c r="AY100" i="2"/>
  <c r="AZ100" i="2"/>
  <c r="BA100" i="2"/>
  <c r="BB100" i="2"/>
  <c r="BC100" i="2"/>
  <c r="BD100" i="2"/>
  <c r="BE100" i="2"/>
  <c r="BF100" i="2"/>
  <c r="AM101" i="2"/>
  <c r="AN101" i="2"/>
  <c r="AO101" i="2"/>
  <c r="AP101" i="2"/>
  <c r="AQ101" i="2"/>
  <c r="AR101" i="2"/>
  <c r="AS101" i="2"/>
  <c r="AT101" i="2"/>
  <c r="AU101" i="2"/>
  <c r="AV101" i="2"/>
  <c r="AW101" i="2"/>
  <c r="AX101" i="2"/>
  <c r="AY101" i="2"/>
  <c r="AZ101" i="2"/>
  <c r="BA101" i="2"/>
  <c r="BB101" i="2"/>
  <c r="BC101" i="2"/>
  <c r="BD101" i="2"/>
  <c r="BE101" i="2"/>
  <c r="BF101" i="2"/>
  <c r="AM102" i="2"/>
  <c r="AN102" i="2"/>
  <c r="AO102" i="2"/>
  <c r="AP102" i="2"/>
  <c r="AQ102" i="2"/>
  <c r="AR102" i="2"/>
  <c r="AS102" i="2"/>
  <c r="AT102" i="2"/>
  <c r="AU102" i="2"/>
  <c r="AV102" i="2"/>
  <c r="AW102" i="2"/>
  <c r="AX102" i="2"/>
  <c r="AY102" i="2"/>
  <c r="AZ102" i="2"/>
  <c r="BA102" i="2"/>
  <c r="BB102" i="2"/>
  <c r="BC102" i="2"/>
  <c r="BD102" i="2"/>
  <c r="BE102" i="2"/>
  <c r="BF102" i="2"/>
  <c r="AM103" i="2"/>
  <c r="AN103" i="2"/>
  <c r="AO103" i="2"/>
  <c r="AP103" i="2"/>
  <c r="AQ103" i="2"/>
  <c r="AR103" i="2"/>
  <c r="AS103" i="2"/>
  <c r="AT103" i="2"/>
  <c r="AU103" i="2"/>
  <c r="AV103" i="2"/>
  <c r="AW103" i="2"/>
  <c r="AX103" i="2"/>
  <c r="AY103" i="2"/>
  <c r="AZ103" i="2"/>
  <c r="BA103" i="2"/>
  <c r="BB103" i="2"/>
  <c r="BC103" i="2"/>
  <c r="BD103" i="2"/>
  <c r="BE103" i="2"/>
  <c r="BF103" i="2"/>
  <c r="AM104" i="2"/>
  <c r="AN104" i="2"/>
  <c r="AO104" i="2"/>
  <c r="AP104" i="2"/>
  <c r="AQ104" i="2"/>
  <c r="AR104" i="2"/>
  <c r="AS104" i="2"/>
  <c r="AT104" i="2"/>
  <c r="AU104" i="2"/>
  <c r="AV104" i="2"/>
  <c r="AW104" i="2"/>
  <c r="AX104" i="2"/>
  <c r="AY104" i="2"/>
  <c r="AZ104" i="2"/>
  <c r="BA104" i="2"/>
  <c r="BB104" i="2"/>
  <c r="BC104" i="2"/>
  <c r="BD104" i="2"/>
  <c r="BE104" i="2"/>
  <c r="BF104" i="2"/>
  <c r="AM105" i="2"/>
  <c r="AN105" i="2"/>
  <c r="AO105" i="2"/>
  <c r="AP105" i="2"/>
  <c r="AQ105" i="2"/>
  <c r="AR105" i="2"/>
  <c r="AS105" i="2"/>
  <c r="AT105" i="2"/>
  <c r="AU105" i="2"/>
  <c r="AV105" i="2"/>
  <c r="AW105" i="2"/>
  <c r="AX105" i="2"/>
  <c r="AY105" i="2"/>
  <c r="AZ105" i="2"/>
  <c r="BA105" i="2"/>
  <c r="BB105" i="2"/>
  <c r="BC105" i="2"/>
  <c r="BD105" i="2"/>
  <c r="BE105" i="2"/>
  <c r="BF105" i="2"/>
  <c r="AM106" i="2"/>
  <c r="AN106" i="2"/>
  <c r="AO106" i="2"/>
  <c r="AP106" i="2"/>
  <c r="AQ106" i="2"/>
  <c r="AR106" i="2"/>
  <c r="AS106" i="2"/>
  <c r="AT106" i="2"/>
  <c r="AU106" i="2"/>
  <c r="AV106" i="2"/>
  <c r="AW106" i="2"/>
  <c r="AX106" i="2"/>
  <c r="AY106" i="2"/>
  <c r="AZ106" i="2"/>
  <c r="BA106" i="2"/>
  <c r="BB106" i="2"/>
  <c r="BC106" i="2"/>
  <c r="BD106" i="2"/>
  <c r="BE106" i="2"/>
  <c r="BF106" i="2"/>
  <c r="AM107" i="2"/>
  <c r="AN107" i="2"/>
  <c r="AO107" i="2"/>
  <c r="AP107" i="2"/>
  <c r="AQ107" i="2"/>
  <c r="AR107" i="2"/>
  <c r="AS107" i="2"/>
  <c r="AT107" i="2"/>
  <c r="AU107" i="2"/>
  <c r="AV107" i="2"/>
  <c r="AW107" i="2"/>
  <c r="AX107" i="2"/>
  <c r="AY107" i="2"/>
  <c r="AZ107" i="2"/>
  <c r="BA107" i="2"/>
  <c r="BB107" i="2"/>
  <c r="BC107" i="2"/>
  <c r="BD107" i="2"/>
  <c r="BE107" i="2"/>
  <c r="BF107" i="2"/>
  <c r="AM108" i="2"/>
  <c r="AN108" i="2"/>
  <c r="AO108" i="2"/>
  <c r="AP108" i="2"/>
  <c r="AQ108" i="2"/>
  <c r="AR108" i="2"/>
  <c r="AS108" i="2"/>
  <c r="AT108" i="2"/>
  <c r="AU108" i="2"/>
  <c r="AV108" i="2"/>
  <c r="AW108" i="2"/>
  <c r="AX108" i="2"/>
  <c r="AY108" i="2"/>
  <c r="AZ108" i="2"/>
  <c r="BA108" i="2"/>
  <c r="BB108" i="2"/>
  <c r="BC108" i="2"/>
  <c r="BD108" i="2"/>
  <c r="BE108" i="2"/>
  <c r="BF108" i="2"/>
  <c r="AM109" i="2"/>
  <c r="AN109" i="2"/>
  <c r="AO109" i="2"/>
  <c r="AP109" i="2"/>
  <c r="AQ109" i="2"/>
  <c r="AR109" i="2"/>
  <c r="AS109" i="2"/>
  <c r="AT109" i="2"/>
  <c r="AU109" i="2"/>
  <c r="AV109" i="2"/>
  <c r="AW109" i="2"/>
  <c r="AX109" i="2"/>
  <c r="AY109" i="2"/>
  <c r="AZ109" i="2"/>
  <c r="BA109" i="2"/>
  <c r="BB109" i="2"/>
  <c r="BC109" i="2"/>
  <c r="BD109" i="2"/>
  <c r="BE109" i="2"/>
  <c r="BF109" i="2"/>
  <c r="AM110" i="2"/>
  <c r="AN110" i="2"/>
  <c r="AO110" i="2"/>
  <c r="AP110" i="2"/>
  <c r="AQ110" i="2"/>
  <c r="AR110" i="2"/>
  <c r="AS110" i="2"/>
  <c r="AT110" i="2"/>
  <c r="AU110" i="2"/>
  <c r="AV110" i="2"/>
  <c r="AW110" i="2"/>
  <c r="AX110" i="2"/>
  <c r="AY110" i="2"/>
  <c r="AZ110" i="2"/>
  <c r="BA110" i="2"/>
  <c r="BB110" i="2"/>
  <c r="BC110" i="2"/>
  <c r="BD110" i="2"/>
  <c r="BE110" i="2"/>
  <c r="BF110" i="2"/>
  <c r="AM112" i="2"/>
  <c r="AN112" i="2"/>
  <c r="AO112" i="2"/>
  <c r="AP112" i="2"/>
  <c r="AQ112" i="2"/>
  <c r="AR112" i="2"/>
  <c r="AS112" i="2"/>
  <c r="AT112" i="2"/>
  <c r="AU112" i="2"/>
  <c r="AV112" i="2"/>
  <c r="AW112" i="2"/>
  <c r="AX112" i="2"/>
  <c r="AY112" i="2"/>
  <c r="AZ112" i="2"/>
  <c r="BA112" i="2"/>
  <c r="BB112" i="2"/>
  <c r="BC112" i="2"/>
  <c r="BD112" i="2"/>
  <c r="BE112" i="2"/>
  <c r="BF112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AM114" i="2"/>
  <c r="AN114" i="2"/>
  <c r="AO114" i="2"/>
  <c r="AP114" i="2"/>
  <c r="AQ114" i="2"/>
  <c r="AR114" i="2"/>
  <c r="AS114" i="2"/>
  <c r="AT114" i="2"/>
  <c r="AU114" i="2"/>
  <c r="AV114" i="2"/>
  <c r="AW114" i="2"/>
  <c r="AX114" i="2"/>
  <c r="AY114" i="2"/>
  <c r="AZ114" i="2"/>
  <c r="BA114" i="2"/>
  <c r="BB114" i="2"/>
  <c r="BC114" i="2"/>
  <c r="BD114" i="2"/>
  <c r="BE114" i="2"/>
  <c r="BF114" i="2"/>
  <c r="AM115" i="2"/>
  <c r="AN115" i="2"/>
  <c r="AO115" i="2"/>
  <c r="AP115" i="2"/>
  <c r="AQ115" i="2"/>
  <c r="AR115" i="2"/>
  <c r="AS115" i="2"/>
  <c r="AT115" i="2"/>
  <c r="AU115" i="2"/>
  <c r="AV115" i="2"/>
  <c r="AW115" i="2"/>
  <c r="AX115" i="2"/>
  <c r="AY115" i="2"/>
  <c r="AZ115" i="2"/>
  <c r="BA115" i="2"/>
  <c r="BB115" i="2"/>
  <c r="BC115" i="2"/>
  <c r="BD115" i="2"/>
  <c r="BE115" i="2"/>
  <c r="BF115" i="2"/>
  <c r="AM116" i="2"/>
  <c r="AN116" i="2"/>
  <c r="AO116" i="2"/>
  <c r="AP116" i="2"/>
  <c r="AQ116" i="2"/>
  <c r="AR116" i="2"/>
  <c r="AS116" i="2"/>
  <c r="AT116" i="2"/>
  <c r="AU116" i="2"/>
  <c r="AV116" i="2"/>
  <c r="AW116" i="2"/>
  <c r="AX116" i="2"/>
  <c r="AY116" i="2"/>
  <c r="AZ116" i="2"/>
  <c r="BA116" i="2"/>
  <c r="BB116" i="2"/>
  <c r="BC116" i="2"/>
  <c r="BD116" i="2"/>
  <c r="BE116" i="2"/>
  <c r="BF116" i="2"/>
  <c r="AM117" i="2"/>
  <c r="AN117" i="2"/>
  <c r="AO117" i="2"/>
  <c r="AP117" i="2"/>
  <c r="AQ117" i="2"/>
  <c r="AR117" i="2"/>
  <c r="AS117" i="2"/>
  <c r="AT117" i="2"/>
  <c r="AU117" i="2"/>
  <c r="AV117" i="2"/>
  <c r="AW117" i="2"/>
  <c r="AX117" i="2"/>
  <c r="AY117" i="2"/>
  <c r="AZ117" i="2"/>
  <c r="BA117" i="2"/>
  <c r="BB117" i="2"/>
  <c r="BC117" i="2"/>
  <c r="BD117" i="2"/>
  <c r="BE117" i="2"/>
  <c r="BF117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AM119" i="2"/>
  <c r="AN119" i="2"/>
  <c r="AO119" i="2"/>
  <c r="AP119" i="2"/>
  <c r="AQ119" i="2"/>
  <c r="AR119" i="2"/>
  <c r="AS119" i="2"/>
  <c r="AT119" i="2"/>
  <c r="AU119" i="2"/>
  <c r="AV119" i="2"/>
  <c r="AW119" i="2"/>
  <c r="AX119" i="2"/>
  <c r="AY119" i="2"/>
  <c r="AZ119" i="2"/>
  <c r="BA119" i="2"/>
  <c r="BB119" i="2"/>
  <c r="BC119" i="2"/>
  <c r="BD119" i="2"/>
  <c r="BE119" i="2"/>
  <c r="BF119" i="2"/>
  <c r="AM120" i="2"/>
  <c r="AN120" i="2"/>
  <c r="AO120" i="2"/>
  <c r="AP120" i="2"/>
  <c r="AQ120" i="2"/>
  <c r="AR120" i="2"/>
  <c r="AS120" i="2"/>
  <c r="AT120" i="2"/>
  <c r="AU120" i="2"/>
  <c r="AV120" i="2"/>
  <c r="AW120" i="2"/>
  <c r="AX120" i="2"/>
  <c r="AY120" i="2"/>
  <c r="AZ120" i="2"/>
  <c r="BA120" i="2"/>
  <c r="BB120" i="2"/>
  <c r="BC120" i="2"/>
  <c r="BD120" i="2"/>
  <c r="BE120" i="2"/>
  <c r="BF120" i="2"/>
  <c r="AM121" i="2"/>
  <c r="AN121" i="2"/>
  <c r="AO121" i="2"/>
  <c r="AP121" i="2"/>
  <c r="AQ121" i="2"/>
  <c r="AR121" i="2"/>
  <c r="AS121" i="2"/>
  <c r="AT121" i="2"/>
  <c r="AU121" i="2"/>
  <c r="AV121" i="2"/>
  <c r="AW121" i="2"/>
  <c r="AX121" i="2"/>
  <c r="AY121" i="2"/>
  <c r="AZ121" i="2"/>
  <c r="BA121" i="2"/>
  <c r="BB121" i="2"/>
  <c r="BC121" i="2"/>
  <c r="BD121" i="2"/>
  <c r="BE121" i="2"/>
  <c r="BF121" i="2"/>
  <c r="AM122" i="2"/>
  <c r="AN122" i="2"/>
  <c r="AO122" i="2"/>
  <c r="AP122" i="2"/>
  <c r="AQ122" i="2"/>
  <c r="AR122" i="2"/>
  <c r="AS122" i="2"/>
  <c r="AT122" i="2"/>
  <c r="AU122" i="2"/>
  <c r="AV122" i="2"/>
  <c r="AW122" i="2"/>
  <c r="AX122" i="2"/>
  <c r="AY122" i="2"/>
  <c r="AZ122" i="2"/>
  <c r="BA122" i="2"/>
  <c r="BB122" i="2"/>
  <c r="BC122" i="2"/>
  <c r="BD122" i="2"/>
  <c r="BE122" i="2"/>
  <c r="BF122" i="2"/>
  <c r="AM123" i="2"/>
  <c r="AN123" i="2"/>
  <c r="AO123" i="2"/>
  <c r="AP123" i="2"/>
  <c r="AQ123" i="2"/>
  <c r="AR123" i="2"/>
  <c r="AS123" i="2"/>
  <c r="AT123" i="2"/>
  <c r="AU123" i="2"/>
  <c r="AV123" i="2"/>
  <c r="AW123" i="2"/>
  <c r="AX123" i="2"/>
  <c r="AY123" i="2"/>
  <c r="AZ123" i="2"/>
  <c r="BA123" i="2"/>
  <c r="BB123" i="2"/>
  <c r="BC123" i="2"/>
  <c r="BD123" i="2"/>
  <c r="BE123" i="2"/>
  <c r="BF123" i="2"/>
  <c r="AM124" i="2"/>
  <c r="AN124" i="2"/>
  <c r="AO124" i="2"/>
  <c r="AP124" i="2"/>
  <c r="AQ124" i="2"/>
  <c r="AR124" i="2"/>
  <c r="AS124" i="2"/>
  <c r="AT124" i="2"/>
  <c r="AU124" i="2"/>
  <c r="AV124" i="2"/>
  <c r="AW124" i="2"/>
  <c r="AX124" i="2"/>
  <c r="AY124" i="2"/>
  <c r="AZ124" i="2"/>
  <c r="BA124" i="2"/>
  <c r="BB124" i="2"/>
  <c r="BC124" i="2"/>
  <c r="BD124" i="2"/>
  <c r="BE124" i="2"/>
  <c r="BF124" i="2"/>
  <c r="AM125" i="2"/>
  <c r="AN125" i="2"/>
  <c r="AO125" i="2"/>
  <c r="AP125" i="2"/>
  <c r="AQ125" i="2"/>
  <c r="AR125" i="2"/>
  <c r="AS125" i="2"/>
  <c r="AT125" i="2"/>
  <c r="AU125" i="2"/>
  <c r="AV125" i="2"/>
  <c r="AW125" i="2"/>
  <c r="AX125" i="2"/>
  <c r="AY125" i="2"/>
  <c r="AZ125" i="2"/>
  <c r="BA125" i="2"/>
  <c r="BB125" i="2"/>
  <c r="BC125" i="2"/>
  <c r="BD125" i="2"/>
  <c r="BE125" i="2"/>
  <c r="BF125" i="2"/>
  <c r="AM129" i="2"/>
  <c r="AN129" i="2"/>
  <c r="AO129" i="2"/>
  <c r="AP129" i="2"/>
  <c r="AQ129" i="2"/>
  <c r="AR129" i="2"/>
  <c r="AS129" i="2"/>
  <c r="AT129" i="2"/>
  <c r="AU129" i="2"/>
  <c r="AV129" i="2"/>
  <c r="AW129" i="2"/>
  <c r="AX129" i="2"/>
  <c r="AY129" i="2"/>
  <c r="AZ129" i="2"/>
  <c r="BA129" i="2"/>
  <c r="BB129" i="2"/>
  <c r="BC129" i="2"/>
  <c r="BD129" i="2"/>
  <c r="BE129" i="2"/>
  <c r="BF129" i="2"/>
  <c r="AM130" i="2"/>
  <c r="AN130" i="2"/>
  <c r="AO130" i="2"/>
  <c r="AP130" i="2"/>
  <c r="AQ130" i="2"/>
  <c r="AR130" i="2"/>
  <c r="AS130" i="2"/>
  <c r="AT130" i="2"/>
  <c r="AU130" i="2"/>
  <c r="AV130" i="2"/>
  <c r="AW130" i="2"/>
  <c r="AX130" i="2"/>
  <c r="AY130" i="2"/>
  <c r="AZ130" i="2"/>
  <c r="BA130" i="2"/>
  <c r="BB130" i="2"/>
  <c r="BC130" i="2"/>
  <c r="BD130" i="2"/>
  <c r="BE130" i="2"/>
  <c r="BF130" i="2"/>
  <c r="AM131" i="2"/>
  <c r="AN131" i="2"/>
  <c r="AO131" i="2"/>
  <c r="AP131" i="2"/>
  <c r="AQ131" i="2"/>
  <c r="AR131" i="2"/>
  <c r="AS131" i="2"/>
  <c r="AT131" i="2"/>
  <c r="AU131" i="2"/>
  <c r="AV131" i="2"/>
  <c r="AW131" i="2"/>
  <c r="AX131" i="2"/>
  <c r="AY131" i="2"/>
  <c r="AZ131" i="2"/>
  <c r="BA131" i="2"/>
  <c r="BB131" i="2"/>
  <c r="BC131" i="2"/>
  <c r="BD131" i="2"/>
  <c r="BE131" i="2"/>
  <c r="BF131" i="2"/>
  <c r="AM132" i="2"/>
  <c r="AN132" i="2"/>
  <c r="AO132" i="2"/>
  <c r="AP132" i="2"/>
  <c r="AQ132" i="2"/>
  <c r="AR132" i="2"/>
  <c r="AS132" i="2"/>
  <c r="AT132" i="2"/>
  <c r="AU132" i="2"/>
  <c r="AV132" i="2"/>
  <c r="AW132" i="2"/>
  <c r="AX132" i="2"/>
  <c r="AY132" i="2"/>
  <c r="AZ132" i="2"/>
  <c r="BA132" i="2"/>
  <c r="BB132" i="2"/>
  <c r="BC132" i="2"/>
  <c r="BD132" i="2"/>
  <c r="BE132" i="2"/>
  <c r="BF132" i="2"/>
  <c r="AM133" i="2"/>
  <c r="AN133" i="2"/>
  <c r="AO133" i="2"/>
  <c r="AP133" i="2"/>
  <c r="AQ133" i="2"/>
  <c r="AR133" i="2"/>
  <c r="AS133" i="2"/>
  <c r="AT133" i="2"/>
  <c r="AU133" i="2"/>
  <c r="AV133" i="2"/>
  <c r="AW133" i="2"/>
  <c r="AX133" i="2"/>
  <c r="AY133" i="2"/>
  <c r="AZ133" i="2"/>
  <c r="BA133" i="2"/>
  <c r="BB133" i="2"/>
  <c r="BC133" i="2"/>
  <c r="BD133" i="2"/>
  <c r="BE133" i="2"/>
  <c r="BF133" i="2"/>
  <c r="AM134" i="2"/>
  <c r="AN134" i="2"/>
  <c r="AO134" i="2"/>
  <c r="AP134" i="2"/>
  <c r="AQ134" i="2"/>
  <c r="AR134" i="2"/>
  <c r="AS134" i="2"/>
  <c r="AT134" i="2"/>
  <c r="AU134" i="2"/>
  <c r="AV134" i="2"/>
  <c r="AW134" i="2"/>
  <c r="AX134" i="2"/>
  <c r="AY134" i="2"/>
  <c r="AZ134" i="2"/>
  <c r="BA134" i="2"/>
  <c r="BB134" i="2"/>
  <c r="BC134" i="2"/>
  <c r="BD134" i="2"/>
  <c r="BE134" i="2"/>
  <c r="BF134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AM136" i="2"/>
  <c r="AN136" i="2"/>
  <c r="AO136" i="2"/>
  <c r="AP136" i="2"/>
  <c r="AQ136" i="2"/>
  <c r="AR136" i="2"/>
  <c r="AS136" i="2"/>
  <c r="AT136" i="2"/>
  <c r="AU136" i="2"/>
  <c r="AV136" i="2"/>
  <c r="AW136" i="2"/>
  <c r="AX136" i="2"/>
  <c r="AY136" i="2"/>
  <c r="AZ136" i="2"/>
  <c r="BA136" i="2"/>
  <c r="BB136" i="2"/>
  <c r="BC136" i="2"/>
  <c r="BD136" i="2"/>
  <c r="BE136" i="2"/>
  <c r="BF136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AM138" i="2"/>
  <c r="AN138" i="2"/>
  <c r="AO138" i="2"/>
  <c r="AP138" i="2"/>
  <c r="AQ138" i="2"/>
  <c r="AR138" i="2"/>
  <c r="AS138" i="2"/>
  <c r="AT138" i="2"/>
  <c r="AU138" i="2"/>
  <c r="AV138" i="2"/>
  <c r="AW138" i="2"/>
  <c r="AX138" i="2"/>
  <c r="AY138" i="2"/>
  <c r="AZ138" i="2"/>
  <c r="BA138" i="2"/>
  <c r="BB138" i="2"/>
  <c r="BC138" i="2"/>
  <c r="BD138" i="2"/>
  <c r="BE138" i="2"/>
  <c r="BF138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BF139" i="2"/>
  <c r="AN7" i="2"/>
  <c r="AO7" i="2"/>
  <c r="AP7" i="2"/>
  <c r="AQ7" i="2"/>
  <c r="AR7" i="2"/>
  <c r="AS7" i="2"/>
  <c r="AT7" i="2"/>
  <c r="AU7" i="2"/>
  <c r="AV7" i="2"/>
  <c r="AW7" i="2"/>
  <c r="AX7" i="2"/>
  <c r="AY7" i="2"/>
  <c r="AZ7" i="2"/>
  <c r="BA7" i="2"/>
  <c r="BB7" i="2"/>
  <c r="BC7" i="2"/>
  <c r="BD7" i="2"/>
  <c r="BE7" i="2"/>
  <c r="BF7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Q33" i="1" s="1"/>
  <c r="BB11" i="2"/>
  <c r="BC11" i="2"/>
  <c r="BD11" i="2"/>
  <c r="BE11" i="2"/>
  <c r="BF11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BD25" i="2"/>
  <c r="BE25" i="2"/>
  <c r="BF25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AZ27" i="2"/>
  <c r="BA27" i="2"/>
  <c r="BB27" i="2"/>
  <c r="BC27" i="2"/>
  <c r="BD27" i="2"/>
  <c r="BE27" i="2"/>
  <c r="BF27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AZ28" i="2"/>
  <c r="BA28" i="2"/>
  <c r="BB28" i="2"/>
  <c r="BC28" i="2"/>
  <c r="BD28" i="2"/>
  <c r="BE28" i="2"/>
  <c r="BF28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BD6" i="2"/>
  <c r="BE6" i="2"/>
  <c r="BF6" i="2"/>
  <c r="B8" i="2"/>
  <c r="AM8" i="2" s="1"/>
  <c r="B9" i="2"/>
  <c r="AM9" i="2" s="1"/>
  <c r="B10" i="2"/>
  <c r="AM10" i="2" s="1"/>
  <c r="B11" i="2"/>
  <c r="AM11" i="2" s="1"/>
  <c r="B12" i="2"/>
  <c r="AM12" i="2" s="1"/>
  <c r="B13" i="2"/>
  <c r="AM13" i="2" s="1"/>
  <c r="B15" i="2"/>
  <c r="AM15" i="2" s="1"/>
  <c r="B16" i="2"/>
  <c r="AM16" i="2" s="1"/>
  <c r="B17" i="2"/>
  <c r="AM17" i="2" s="1"/>
  <c r="B18" i="2"/>
  <c r="AM18" i="2" s="1"/>
  <c r="B19" i="2"/>
  <c r="AM19" i="2" s="1"/>
  <c r="B20" i="2"/>
  <c r="B21" i="2"/>
  <c r="B22" i="2"/>
  <c r="B23" i="2"/>
  <c r="B24" i="2"/>
  <c r="B25" i="2"/>
  <c r="B26" i="2"/>
  <c r="B27" i="2"/>
  <c r="B28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9" i="2"/>
  <c r="B130" i="2"/>
  <c r="B131" i="2"/>
  <c r="B132" i="2"/>
  <c r="B133" i="2"/>
  <c r="B134" i="2"/>
  <c r="B135" i="2"/>
  <c r="B136" i="2"/>
  <c r="B138" i="2"/>
  <c r="B139" i="2"/>
  <c r="B7" i="2"/>
  <c r="AM7" i="2" s="1"/>
  <c r="AC13" i="2"/>
  <c r="AD13" i="2" s="1"/>
  <c r="AC14" i="2"/>
  <c r="AD14" i="2" s="1"/>
  <c r="AC19" i="2"/>
  <c r="AD19" i="2" s="1"/>
  <c r="AC27" i="2"/>
  <c r="AD27" i="2" s="1"/>
  <c r="AC28" i="2"/>
  <c r="AD28" i="2" s="1"/>
  <c r="AC99" i="2"/>
  <c r="AD99" i="2" s="1"/>
  <c r="P20" i="1"/>
  <c r="P23" i="1"/>
  <c r="P22" i="1"/>
  <c r="P21" i="1"/>
  <c r="H10" i="1"/>
  <c r="H7" i="1"/>
  <c r="F14" i="1"/>
  <c r="F15" i="1"/>
  <c r="F16" i="1"/>
  <c r="F17" i="1"/>
  <c r="F18" i="1"/>
  <c r="F19" i="1"/>
  <c r="F20" i="1"/>
  <c r="F21" i="1"/>
  <c r="F22" i="1"/>
  <c r="F13" i="1"/>
  <c r="BW86" i="3"/>
  <c r="BW85" i="3"/>
  <c r="BW84" i="3"/>
  <c r="BW83" i="3"/>
  <c r="BW82" i="3"/>
  <c r="BW80" i="3"/>
  <c r="BW79" i="3"/>
  <c r="BW78" i="3"/>
  <c r="BW77" i="3"/>
  <c r="BW76" i="3"/>
  <c r="BW74" i="3"/>
  <c r="BW73" i="3"/>
  <c r="BW72" i="3"/>
  <c r="BW71" i="3"/>
  <c r="BW70" i="3"/>
  <c r="BW68" i="3"/>
  <c r="BW67" i="3"/>
  <c r="BW66" i="3"/>
  <c r="BW65" i="3"/>
  <c r="BW64" i="3"/>
  <c r="BW62" i="3"/>
  <c r="BW61" i="3"/>
  <c r="BW60" i="3"/>
  <c r="BW59" i="3"/>
  <c r="BW58" i="3"/>
  <c r="BW49" i="3"/>
  <c r="BW48" i="3"/>
  <c r="BW47" i="3"/>
  <c r="BW46" i="3"/>
  <c r="BW45" i="3"/>
  <c r="BW43" i="3"/>
  <c r="BW42" i="3"/>
  <c r="BW41" i="3"/>
  <c r="BW40" i="3"/>
  <c r="BW39" i="3"/>
  <c r="BW37" i="3"/>
  <c r="BW36" i="3"/>
  <c r="BW35" i="3"/>
  <c r="BW34" i="3"/>
  <c r="BW33" i="3"/>
  <c r="BW28" i="3"/>
  <c r="BW27" i="3"/>
  <c r="BW29" i="3"/>
  <c r="BW30" i="3"/>
  <c r="BW31" i="3"/>
  <c r="BW21" i="3"/>
  <c r="BW22" i="3"/>
  <c r="BW23" i="3"/>
  <c r="BW24" i="3"/>
  <c r="BW25" i="3"/>
  <c r="AE24" i="2" a="1"/>
  <c r="AE24" i="2" s="1"/>
  <c r="AE25" i="2" a="1"/>
  <c r="AE25" i="2" s="1"/>
  <c r="AE26" i="2" a="1"/>
  <c r="AE26" i="2" s="1"/>
  <c r="AE27" i="2" a="1"/>
  <c r="AE27" i="2" s="1"/>
  <c r="AE28" i="2" a="1"/>
  <c r="AE28" i="2" s="1"/>
  <c r="AE89" i="2" a="1"/>
  <c r="AE89" i="2" s="1"/>
  <c r="AE90" i="2" a="1"/>
  <c r="AE90" i="2" s="1"/>
  <c r="AE91" i="2" a="1"/>
  <c r="AE91" i="2" s="1"/>
  <c r="AE92" i="2" a="1"/>
  <c r="AE92" i="2" s="1"/>
  <c r="AE93" i="2" a="1"/>
  <c r="AE93" i="2" s="1"/>
  <c r="AE94" i="2" a="1"/>
  <c r="AE94" i="2" s="1"/>
  <c r="AE12" i="2" a="1"/>
  <c r="AE12" i="2" s="1"/>
  <c r="AE13" i="2" a="1"/>
  <c r="AE13" i="2" s="1"/>
  <c r="AE14" i="2" a="1"/>
  <c r="AE14" i="2" s="1"/>
  <c r="AE15" i="2" a="1"/>
  <c r="AE15" i="2" s="1"/>
  <c r="AE16" i="2" a="1"/>
  <c r="AE16" i="2" s="1"/>
  <c r="O21" i="1"/>
  <c r="O22" i="1"/>
  <c r="O23" i="1"/>
  <c r="O24" i="1"/>
  <c r="O20" i="1"/>
  <c r="Q4" i="1"/>
  <c r="AD145" i="2" l="1"/>
  <c r="V43" i="6"/>
  <c r="AD144" i="2"/>
  <c r="V42" i="6"/>
  <c r="AD143" i="2"/>
  <c r="V41" i="6"/>
  <c r="AD148" i="2"/>
  <c r="V46" i="6"/>
  <c r="AD147" i="2"/>
  <c r="V45" i="6"/>
  <c r="AD146" i="2"/>
  <c r="V44" i="6"/>
  <c r="AM3" i="2"/>
  <c r="I24" i="1"/>
  <c r="E24" i="1"/>
  <c r="C7" i="6"/>
  <c r="I31" i="6"/>
  <c r="I44" i="6"/>
  <c r="H11" i="1"/>
  <c r="I43" i="6"/>
  <c r="I42" i="6"/>
  <c r="I41" i="6"/>
  <c r="I40" i="6"/>
  <c r="I38" i="6"/>
  <c r="I37" i="6"/>
  <c r="I36" i="6"/>
  <c r="I35" i="6"/>
  <c r="I34" i="6"/>
  <c r="I33" i="6"/>
  <c r="I32" i="6"/>
  <c r="I39" i="6"/>
  <c r="AI90" i="2"/>
  <c r="AI16" i="2"/>
  <c r="AI91" i="2"/>
  <c r="AI13" i="2"/>
  <c r="AI92" i="2"/>
  <c r="AI24" i="2"/>
  <c r="AI94" i="2"/>
  <c r="AI93" i="2"/>
  <c r="AI26" i="2"/>
  <c r="AI25" i="2"/>
  <c r="AI15" i="2"/>
  <c r="AI14" i="2"/>
  <c r="AI89" i="2"/>
  <c r="AI28" i="2"/>
  <c r="AI27" i="2"/>
  <c r="AI12" i="2"/>
  <c r="H4" i="4"/>
  <c r="M30" i="1"/>
  <c r="O30" i="1"/>
  <c r="AH10" i="2" s="1"/>
  <c r="Q30" i="1"/>
  <c r="C3" i="4" s="1"/>
  <c r="H3" i="4" s="1"/>
  <c r="AD8" i="2"/>
  <c r="AD6" i="2"/>
  <c r="AD66" i="2"/>
  <c r="AD55" i="2"/>
  <c r="AD124" i="2"/>
  <c r="AD119" i="2"/>
  <c r="AD139" i="2"/>
  <c r="AD10" i="2"/>
  <c r="AD76" i="2"/>
  <c r="AD96" i="2"/>
  <c r="AD37" i="2"/>
  <c r="AD48" i="2"/>
  <c r="AD95" i="2"/>
  <c r="AD59" i="2"/>
  <c r="AD65" i="2"/>
  <c r="B32" i="2"/>
  <c r="B31" i="2"/>
  <c r="B30" i="2"/>
  <c r="B34" i="2"/>
  <c r="B42" i="2"/>
  <c r="B33" i="2"/>
  <c r="B41" i="2"/>
  <c r="AP4" i="2"/>
  <c r="BD4" i="2"/>
  <c r="BE4" i="2"/>
  <c r="AU4" i="2"/>
  <c r="BB4" i="2"/>
  <c r="AO4" i="2"/>
  <c r="BA4" i="2"/>
  <c r="AV4" i="2"/>
  <c r="AX4" i="2"/>
  <c r="AM4" i="2"/>
  <c r="I4" i="2" s="1"/>
  <c r="J3" i="2" s="1"/>
  <c r="AN3" i="2" s="1"/>
  <c r="AN4" i="2"/>
  <c r="AT4" i="2"/>
  <c r="AY4" i="2"/>
  <c r="BF4" i="2"/>
  <c r="AW4" i="2"/>
  <c r="AS4" i="2"/>
  <c r="AZ4" i="2"/>
  <c r="AR4" i="2"/>
  <c r="BC4" i="2"/>
  <c r="AQ4" i="2"/>
  <c r="B43" i="2"/>
  <c r="AD103" i="2"/>
  <c r="AD45" i="2"/>
  <c r="B38" i="2"/>
  <c r="B29" i="2"/>
  <c r="B36" i="2"/>
  <c r="B37" i="2"/>
  <c r="B40" i="2"/>
  <c r="I18" i="1"/>
  <c r="Z45" i="3" s="1"/>
  <c r="I17" i="1"/>
  <c r="I21" i="1"/>
  <c r="I22" i="1"/>
  <c r="I20" i="1"/>
  <c r="I16" i="1"/>
  <c r="Z47" i="3" s="1"/>
  <c r="I23" i="1" s="1"/>
  <c r="I15" i="1"/>
  <c r="I14" i="1"/>
  <c r="I19" i="1"/>
  <c r="I13" i="1"/>
  <c r="AE30" i="2" a="1"/>
  <c r="AE32" i="2" a="1"/>
  <c r="AE86" i="2" a="1"/>
  <c r="AE101" i="2" a="1"/>
  <c r="AE9" i="2" a="1"/>
  <c r="AE131" i="2" a="1"/>
  <c r="AE38" i="2" a="1"/>
  <c r="AE37" i="2" a="1"/>
  <c r="AE72" i="2" a="1"/>
  <c r="AE136" i="2" a="1"/>
  <c r="AE105" i="2" a="1"/>
  <c r="AE107" i="2" a="1"/>
  <c r="AE74" i="2" a="1"/>
  <c r="AE120" i="2" a="1"/>
  <c r="AE6" i="2" a="1"/>
  <c r="AE61" i="2" a="1"/>
  <c r="AE36" i="2" a="1"/>
  <c r="AE124" i="2" a="1"/>
  <c r="AE95" i="2" a="1"/>
  <c r="AE41" i="2" a="1"/>
  <c r="AE133" i="2" a="1"/>
  <c r="AE62" i="2" a="1"/>
  <c r="AE43" i="2" a="1"/>
  <c r="AE128" i="2" a="1"/>
  <c r="AE138" i="2" a="1"/>
  <c r="AE29" i="2" a="1"/>
  <c r="AE78" i="2" a="1"/>
  <c r="AE54" i="2" a="1"/>
  <c r="AE20" i="2" a="1"/>
  <c r="AE137" i="2" a="1"/>
  <c r="AE77" i="2" a="1"/>
  <c r="AE80" i="2" a="1"/>
  <c r="AE47" i="2" a="1"/>
  <c r="AE56" i="2" a="1"/>
  <c r="AE125" i="2" a="1"/>
  <c r="AE67" i="2" a="1"/>
  <c r="AE22" i="2" a="1"/>
  <c r="AE66" i="2" a="1"/>
  <c r="AE52" i="2" a="1"/>
  <c r="AE8" i="2" a="1"/>
  <c r="AE10" i="2" a="1"/>
  <c r="AE11" i="2" a="1"/>
  <c r="AE139" i="2" a="1"/>
  <c r="AE19" i="2" a="1"/>
  <c r="AE31" i="2" a="1"/>
  <c r="AE53" i="2" a="1"/>
  <c r="AE106" i="2" a="1"/>
  <c r="AE76" i="2" a="1"/>
  <c r="AE116" i="2" a="1"/>
  <c r="AE71" i="2" a="1"/>
  <c r="AE97" i="2" a="1"/>
  <c r="AE102" i="2" a="1"/>
  <c r="AE100" i="2" a="1"/>
  <c r="AE121" i="2" a="1"/>
  <c r="AE88" i="2" a="1"/>
  <c r="AE134" i="2" a="1"/>
  <c r="AE65" i="2" a="1"/>
  <c r="AE132" i="2" a="1"/>
  <c r="AE63" i="2" a="1"/>
  <c r="AE48" i="2" a="1"/>
  <c r="AE135" i="2" a="1"/>
  <c r="AE18" i="2" a="1"/>
  <c r="AE85" i="2" a="1"/>
  <c r="AE44" i="2" a="1"/>
  <c r="AE70" i="2" a="1"/>
  <c r="AE98" i="2" a="1"/>
  <c r="AE45" i="2" a="1"/>
  <c r="AE40" i="2" a="1"/>
  <c r="AE103" i="2" a="1"/>
  <c r="AE81" i="2" a="1"/>
  <c r="AE33" i="2" a="1"/>
  <c r="AE35" i="2" a="1"/>
  <c r="AE57" i="2" a="1"/>
  <c r="AE108" i="2" a="1"/>
  <c r="AE46" i="2" a="1"/>
  <c r="AE69" i="2" a="1"/>
  <c r="AE127" i="2" a="1"/>
  <c r="AE59" i="2" a="1"/>
  <c r="AE119" i="2" a="1"/>
  <c r="AE104" i="2" a="1"/>
  <c r="AE129" i="2" a="1"/>
  <c r="AE55" i="2" a="1"/>
  <c r="AE42" i="2" a="1"/>
  <c r="AE84" i="2" a="1"/>
  <c r="AE96" i="2" a="1"/>
  <c r="AE68" i="2" a="1"/>
  <c r="AE122" i="2" a="1"/>
  <c r="AE126" i="2" a="1"/>
  <c r="AE130" i="2" a="1"/>
  <c r="AE123" i="2" a="1"/>
  <c r="AE99" i="2" a="1"/>
  <c r="AE58" i="2" a="1"/>
  <c r="AE75" i="2" a="1"/>
  <c r="AE83" i="2" a="1"/>
  <c r="AE118" i="2" a="1"/>
  <c r="AE34" i="2" a="1"/>
  <c r="AE87" i="2" a="1"/>
  <c r="AE117" i="2" a="1"/>
  <c r="AE73" i="2" a="1"/>
  <c r="AE21" i="2" a="1"/>
  <c r="AE79" i="2" a="1"/>
  <c r="AE23" i="2" a="1"/>
  <c r="AE51" i="2" a="1"/>
  <c r="AE39" i="2" a="1"/>
  <c r="AE82" i="2" a="1"/>
  <c r="AE50" i="2" a="1"/>
  <c r="AE60" i="2" a="1"/>
  <c r="AE49" i="2" a="1"/>
  <c r="AE64" i="2" a="1"/>
  <c r="AE17" i="2" a="1"/>
  <c r="AE115" i="2" a="1"/>
  <c r="AE7" i="2" a="1"/>
  <c r="L4" i="6" l="1"/>
  <c r="X3" i="6"/>
  <c r="Y3" i="6" s="1"/>
  <c r="X4" i="6"/>
  <c r="Y4" i="6" s="1"/>
  <c r="J31" i="6"/>
  <c r="J43" i="6"/>
  <c r="J44" i="6"/>
  <c r="J41" i="6"/>
  <c r="J40" i="6"/>
  <c r="J32" i="6"/>
  <c r="J33" i="6"/>
  <c r="J42" i="6"/>
  <c r="B26" i="6"/>
  <c r="T21" i="6"/>
  <c r="U21" i="6" s="1"/>
  <c r="X38" i="6"/>
  <c r="Y38" i="6" s="1"/>
  <c r="X19" i="6"/>
  <c r="Y19" i="6" s="1"/>
  <c r="T32" i="6"/>
  <c r="U32" i="6" s="1"/>
  <c r="X9" i="6"/>
  <c r="Y9" i="6" s="1"/>
  <c r="T37" i="6"/>
  <c r="U37" i="6" s="1"/>
  <c r="X32" i="6"/>
  <c r="Y32" i="6" s="1"/>
  <c r="T38" i="6"/>
  <c r="U38" i="6" s="1"/>
  <c r="T19" i="6"/>
  <c r="U19" i="6" s="1"/>
  <c r="X14" i="6"/>
  <c r="Y14" i="6" s="1"/>
  <c r="X24" i="6"/>
  <c r="Y24" i="6" s="1"/>
  <c r="X34" i="6"/>
  <c r="Y34" i="6" s="1"/>
  <c r="T22" i="6"/>
  <c r="U22" i="6" s="1"/>
  <c r="X28" i="6"/>
  <c r="Y28" i="6" s="1"/>
  <c r="T30" i="6"/>
  <c r="U30" i="6" s="1"/>
  <c r="X29" i="6"/>
  <c r="Y29" i="6" s="1"/>
  <c r="T33" i="6"/>
  <c r="U33" i="6" s="1"/>
  <c r="X30" i="6"/>
  <c r="Y30" i="6" s="1"/>
  <c r="T35" i="6"/>
  <c r="U35" i="6" s="1"/>
  <c r="X21" i="6"/>
  <c r="Y21" i="6" s="1"/>
  <c r="T23" i="6"/>
  <c r="U23" i="6" s="1"/>
  <c r="X5" i="6"/>
  <c r="Y5" i="6" s="1"/>
  <c r="T28" i="6"/>
  <c r="U28" i="6" s="1"/>
  <c r="T31" i="6"/>
  <c r="U31" i="6" s="1"/>
  <c r="X20" i="6"/>
  <c r="Y20" i="6" s="1"/>
  <c r="T14" i="6"/>
  <c r="U14" i="6" s="1"/>
  <c r="X15" i="6"/>
  <c r="Y15" i="6" s="1"/>
  <c r="X25" i="6"/>
  <c r="Y25" i="6" s="1"/>
  <c r="X35" i="6"/>
  <c r="Y35" i="6" s="1"/>
  <c r="T4" i="6"/>
  <c r="U4" i="6" s="1"/>
  <c r="T24" i="6"/>
  <c r="U24" i="6" s="1"/>
  <c r="X6" i="6"/>
  <c r="Y6" i="6" s="1"/>
  <c r="X37" i="6"/>
  <c r="Y37" i="6" s="1"/>
  <c r="T10" i="6"/>
  <c r="U10" i="6" s="1"/>
  <c r="T12" i="6"/>
  <c r="U12" i="6" s="1"/>
  <c r="T15" i="6"/>
  <c r="U15" i="6" s="1"/>
  <c r="X31" i="6"/>
  <c r="Y31" i="6" s="1"/>
  <c r="T16" i="6"/>
  <c r="U16" i="6" s="1"/>
  <c r="T5" i="6"/>
  <c r="U5" i="6" s="1"/>
  <c r="T25" i="6"/>
  <c r="U25" i="6" s="1"/>
  <c r="X7" i="6"/>
  <c r="Y7" i="6" s="1"/>
  <c r="T18" i="6"/>
  <c r="U18" i="6" s="1"/>
  <c r="X13" i="6"/>
  <c r="Y13" i="6" s="1"/>
  <c r="X16" i="6"/>
  <c r="Y16" i="6" s="1"/>
  <c r="X26" i="6"/>
  <c r="Y26" i="6" s="1"/>
  <c r="X36" i="6"/>
  <c r="Y36" i="6" s="1"/>
  <c r="T6" i="6"/>
  <c r="U6" i="6" s="1"/>
  <c r="T26" i="6"/>
  <c r="U26" i="6" s="1"/>
  <c r="X8" i="6"/>
  <c r="Y8" i="6" s="1"/>
  <c r="T8" i="6"/>
  <c r="U8" i="6" s="1"/>
  <c r="T11" i="6"/>
  <c r="U11" i="6" s="1"/>
  <c r="T17" i="6"/>
  <c r="U17" i="6" s="1"/>
  <c r="X12" i="6"/>
  <c r="Y12" i="6" s="1"/>
  <c r="T39" i="6"/>
  <c r="U39" i="6" s="1"/>
  <c r="T2" i="6"/>
  <c r="U2" i="6" s="1"/>
  <c r="T7" i="6"/>
  <c r="U7" i="6" s="1"/>
  <c r="T27" i="6"/>
  <c r="U27" i="6" s="1"/>
  <c r="T3" i="6"/>
  <c r="U3" i="6" s="1"/>
  <c r="T29" i="6"/>
  <c r="U29" i="6" s="1"/>
  <c r="X18" i="6"/>
  <c r="Y18" i="6" s="1"/>
  <c r="Q5" i="1"/>
  <c r="Q17" i="1" s="1"/>
  <c r="X33" i="6"/>
  <c r="Y33" i="6" s="1"/>
  <c r="X17" i="6"/>
  <c r="Y17" i="6" s="1"/>
  <c r="X27" i="6"/>
  <c r="Y27" i="6" s="1"/>
  <c r="T9" i="6"/>
  <c r="U9" i="6" s="1"/>
  <c r="X22" i="6"/>
  <c r="Y22" i="6" s="1"/>
  <c r="X23" i="6"/>
  <c r="Y23" i="6" s="1"/>
  <c r="X2" i="6"/>
  <c r="Y2" i="6" s="1"/>
  <c r="X39" i="6"/>
  <c r="Y39" i="6" s="1"/>
  <c r="T13" i="6"/>
  <c r="U13" i="6" s="1"/>
  <c r="X10" i="6"/>
  <c r="Y10" i="6" s="1"/>
  <c r="T34" i="6"/>
  <c r="U34" i="6" s="1"/>
  <c r="X11" i="6"/>
  <c r="Y11" i="6" s="1"/>
  <c r="T36" i="6"/>
  <c r="U36" i="6" s="1"/>
  <c r="T20" i="6"/>
  <c r="U20" i="6" s="1"/>
  <c r="Z48" i="3"/>
  <c r="Z46" i="3"/>
  <c r="J4" i="2"/>
  <c r="K3" i="2" s="1"/>
  <c r="AO3" i="2" s="1"/>
  <c r="I5" i="3"/>
  <c r="J5" i="3"/>
  <c r="K5" i="3"/>
  <c r="L5" i="3"/>
  <c r="M5" i="3"/>
  <c r="Z44" i="3"/>
  <c r="N5" i="3"/>
  <c r="H5" i="3"/>
  <c r="Z43" i="3"/>
  <c r="C3" i="6"/>
  <c r="AH112" i="2"/>
  <c r="AH111" i="2"/>
  <c r="K30" i="1"/>
  <c r="M8" i="1" s="1"/>
  <c r="AE127" i="2"/>
  <c r="AI127" i="2" s="1"/>
  <c r="AE126" i="2"/>
  <c r="AI126" i="2" s="1"/>
  <c r="AE128" i="2"/>
  <c r="AI128" i="2" s="1"/>
  <c r="N7" i="5"/>
  <c r="M7" i="5"/>
  <c r="M6" i="5"/>
  <c r="M5" i="5"/>
  <c r="M4" i="5"/>
  <c r="AC5" i="3"/>
  <c r="X5" i="3"/>
  <c r="W5" i="3"/>
  <c r="T5" i="3"/>
  <c r="S5" i="3"/>
  <c r="N22" i="1"/>
  <c r="R22" i="1" s="1"/>
  <c r="Z5" i="3"/>
  <c r="Y5" i="3"/>
  <c r="R5" i="3"/>
  <c r="Q5" i="3"/>
  <c r="O5" i="3"/>
  <c r="AB5" i="3"/>
  <c r="AA5" i="3"/>
  <c r="V5" i="3"/>
  <c r="U5" i="3"/>
  <c r="P5" i="3"/>
  <c r="AH41" i="2"/>
  <c r="AH110" i="2"/>
  <c r="AH42" i="2"/>
  <c r="AH43" i="2"/>
  <c r="AH44" i="2"/>
  <c r="AH40" i="2"/>
  <c r="P58" i="4"/>
  <c r="P60" i="4" s="1"/>
  <c r="AE41" i="2"/>
  <c r="AE42" i="2"/>
  <c r="AE30" i="2"/>
  <c r="AI30" i="2" s="1"/>
  <c r="AE32" i="2"/>
  <c r="AI32" i="2" s="1"/>
  <c r="AE34" i="2"/>
  <c r="AI34" i="2" s="1"/>
  <c r="AE33" i="2"/>
  <c r="AI33" i="2" s="1"/>
  <c r="AE31" i="2"/>
  <c r="AI31" i="2" s="1"/>
  <c r="AE43" i="2"/>
  <c r="AE38" i="2"/>
  <c r="AI38" i="2" s="1"/>
  <c r="AE99" i="2"/>
  <c r="AI99" i="2" s="1"/>
  <c r="AE100" i="2"/>
  <c r="AI100" i="2" s="1"/>
  <c r="AE98" i="2"/>
  <c r="AI98" i="2" s="1"/>
  <c r="N24" i="1"/>
  <c r="R24" i="1" s="1"/>
  <c r="AE69" i="2"/>
  <c r="AI69" i="2" s="1"/>
  <c r="AE79" i="2"/>
  <c r="AI79" i="2" s="1"/>
  <c r="AE76" i="2"/>
  <c r="AI76" i="2" s="1"/>
  <c r="AE117" i="2"/>
  <c r="AI117" i="2" s="1"/>
  <c r="AE87" i="2"/>
  <c r="AI87" i="2" s="1"/>
  <c r="AE118" i="2"/>
  <c r="AI118" i="2" s="1"/>
  <c r="AE88" i="2"/>
  <c r="AI88" i="2" s="1"/>
  <c r="AE115" i="2"/>
  <c r="AI115" i="2" s="1"/>
  <c r="AE85" i="2"/>
  <c r="AI85" i="2" s="1"/>
  <c r="AE70" i="2"/>
  <c r="AI70" i="2" s="1"/>
  <c r="AE80" i="2"/>
  <c r="AI80" i="2" s="1"/>
  <c r="AE83" i="2"/>
  <c r="AI83" i="2" s="1"/>
  <c r="AE84" i="2"/>
  <c r="AI84" i="2" s="1"/>
  <c r="AE86" i="2"/>
  <c r="AI86" i="2" s="1"/>
  <c r="AE67" i="2"/>
  <c r="AI67" i="2" s="1"/>
  <c r="AE72" i="2"/>
  <c r="AI72" i="2" s="1"/>
  <c r="AE82" i="2"/>
  <c r="AI82" i="2" s="1"/>
  <c r="AE65" i="2"/>
  <c r="AI65" i="2" s="1"/>
  <c r="AE71" i="2"/>
  <c r="AI71" i="2" s="1"/>
  <c r="AE81" i="2"/>
  <c r="AI81" i="2" s="1"/>
  <c r="AE73" i="2"/>
  <c r="AI73" i="2" s="1"/>
  <c r="AE116" i="2"/>
  <c r="AI116" i="2" s="1"/>
  <c r="AE68" i="2"/>
  <c r="AI68" i="2" s="1"/>
  <c r="AE66" i="2"/>
  <c r="AI66" i="2" s="1"/>
  <c r="AE77" i="2"/>
  <c r="AI77" i="2" s="1"/>
  <c r="AE74" i="2"/>
  <c r="AI74" i="2" s="1"/>
  <c r="AE75" i="2"/>
  <c r="AI75" i="2" s="1"/>
  <c r="AE78" i="2"/>
  <c r="AI78" i="2" s="1"/>
  <c r="AE60" i="2"/>
  <c r="AI60" i="2" s="1"/>
  <c r="AE134" i="2"/>
  <c r="AI134" i="2" s="1"/>
  <c r="AE58" i="2"/>
  <c r="AI58" i="2" s="1"/>
  <c r="AE95" i="2"/>
  <c r="AI95" i="2" s="1"/>
  <c r="AE61" i="2"/>
  <c r="AI61" i="2" s="1"/>
  <c r="AE135" i="2"/>
  <c r="AI135" i="2" s="1"/>
  <c r="AE97" i="2"/>
  <c r="AI97" i="2" s="1"/>
  <c r="AE96" i="2"/>
  <c r="AI96" i="2" s="1"/>
  <c r="AE11" i="2"/>
  <c r="AI11" i="2" s="1"/>
  <c r="AE10" i="2"/>
  <c r="AI10" i="2" s="1"/>
  <c r="N20" i="1"/>
  <c r="R20" i="1" s="1"/>
  <c r="AE21" i="2"/>
  <c r="AE22" i="2"/>
  <c r="AI22" i="2" s="1"/>
  <c r="AE23" i="2"/>
  <c r="AI23" i="2" s="1"/>
  <c r="AE20" i="2"/>
  <c r="AI20" i="2" s="1"/>
  <c r="AE18" i="2"/>
  <c r="AI18" i="2" s="1"/>
  <c r="AE120" i="2"/>
  <c r="AI120" i="2" s="1"/>
  <c r="AE46" i="2"/>
  <c r="AI46" i="2" s="1"/>
  <c r="AE121" i="2"/>
  <c r="AI121" i="2" s="1"/>
  <c r="AE123" i="2"/>
  <c r="AI123" i="2" s="1"/>
  <c r="AE124" i="2"/>
  <c r="AI124" i="2" s="1"/>
  <c r="AE119" i="2"/>
  <c r="AI119" i="2" s="1"/>
  <c r="AE137" i="2"/>
  <c r="AI137" i="2" s="1"/>
  <c r="AE139" i="2"/>
  <c r="AI139" i="2" s="1"/>
  <c r="AE47" i="2"/>
  <c r="AI47" i="2" s="1"/>
  <c r="AE122" i="2"/>
  <c r="AI122" i="2" s="1"/>
  <c r="AE138" i="2"/>
  <c r="AI138" i="2" s="1"/>
  <c r="AE56" i="2"/>
  <c r="AI56" i="2" s="1"/>
  <c r="AE57" i="2"/>
  <c r="AI57" i="2" s="1"/>
  <c r="AE106" i="2"/>
  <c r="AI106" i="2" s="1"/>
  <c r="AE48" i="2"/>
  <c r="AI48" i="2" s="1"/>
  <c r="AE107" i="2"/>
  <c r="AI107" i="2" s="1"/>
  <c r="AE105" i="2"/>
  <c r="AI105" i="2" s="1"/>
  <c r="N23" i="1"/>
  <c r="R23" i="1" s="1"/>
  <c r="N21" i="1"/>
  <c r="R21" i="1" s="1"/>
  <c r="AE19" i="2"/>
  <c r="AI19" i="2" s="1"/>
  <c r="AE36" i="2"/>
  <c r="AI36" i="2" s="1"/>
  <c r="AE50" i="2"/>
  <c r="AI50" i="2" s="1"/>
  <c r="AE133" i="2"/>
  <c r="AI133" i="2" s="1"/>
  <c r="AE136" i="2"/>
  <c r="AI136" i="2" s="1"/>
  <c r="AE64" i="2"/>
  <c r="AI64" i="2" s="1"/>
  <c r="AE104" i="2"/>
  <c r="AI104" i="2" s="1"/>
  <c r="AE53" i="2"/>
  <c r="AI53" i="2" s="1"/>
  <c r="AE102" i="2"/>
  <c r="AI102" i="2" s="1"/>
  <c r="AE54" i="2"/>
  <c r="AI54" i="2" s="1"/>
  <c r="AE55" i="2"/>
  <c r="AI55" i="2" s="1"/>
  <c r="AE35" i="2"/>
  <c r="AI35" i="2" s="1"/>
  <c r="AE37" i="2"/>
  <c r="AI37" i="2" s="1"/>
  <c r="AE51" i="2"/>
  <c r="AI51" i="2" s="1"/>
  <c r="AE40" i="2"/>
  <c r="AE125" i="2"/>
  <c r="AI125" i="2" s="1"/>
  <c r="AE129" i="2"/>
  <c r="AI129" i="2" s="1"/>
  <c r="AE59" i="2"/>
  <c r="AI59" i="2" s="1"/>
  <c r="AE101" i="2"/>
  <c r="AI101" i="2" s="1"/>
  <c r="AE44" i="2"/>
  <c r="AE130" i="2"/>
  <c r="AI130" i="2" s="1"/>
  <c r="AE108" i="2"/>
  <c r="AI108" i="2" s="1"/>
  <c r="AE39" i="2"/>
  <c r="AI39" i="2" s="1"/>
  <c r="AE52" i="2"/>
  <c r="AI52" i="2" s="1"/>
  <c r="AE62" i="2"/>
  <c r="AI62" i="2" s="1"/>
  <c r="AE103" i="2"/>
  <c r="AI103" i="2" s="1"/>
  <c r="AE45" i="2"/>
  <c r="AI45" i="2" s="1"/>
  <c r="AE132" i="2"/>
  <c r="AI132" i="2" s="1"/>
  <c r="AE63" i="2"/>
  <c r="AI63" i="2" s="1"/>
  <c r="AE29" i="2"/>
  <c r="AI29" i="2" s="1"/>
  <c r="AE131" i="2"/>
  <c r="AI131" i="2" s="1"/>
  <c r="AE49" i="2"/>
  <c r="AI49" i="2" s="1"/>
  <c r="AE7" i="2"/>
  <c r="AI7" i="2" s="1"/>
  <c r="AE17" i="2"/>
  <c r="AI17" i="2" s="1"/>
  <c r="AE8" i="2"/>
  <c r="AI8" i="2" s="1"/>
  <c r="AE9" i="2"/>
  <c r="AI9" i="2" s="1"/>
  <c r="AE6" i="2"/>
  <c r="AI6" i="2" s="1"/>
  <c r="AE114" i="2" a="1"/>
  <c r="AE149" i="2" a="1"/>
  <c r="AE159" i="2" a="1"/>
  <c r="AE170" i="2" a="1"/>
  <c r="AE109" i="2" a="1"/>
  <c r="AE163" i="2" a="1"/>
  <c r="AE111" i="2" a="1"/>
  <c r="AE171" i="2" a="1"/>
  <c r="AE113" i="2" a="1"/>
  <c r="AE166" i="2" a="1"/>
  <c r="AE158" i="2" a="1"/>
  <c r="AE165" i="2" a="1"/>
  <c r="AE161" i="2" a="1"/>
  <c r="AE156" i="2" a="1"/>
  <c r="AE110" i="2" a="1"/>
  <c r="AE157" i="2" a="1"/>
  <c r="AE175" i="2" a="1"/>
  <c r="AE146" i="2" a="1"/>
  <c r="AE172" i="2" a="1"/>
  <c r="AE174" i="2" a="1"/>
  <c r="AE168" i="2" a="1"/>
  <c r="AE112" i="2" a="1"/>
  <c r="AE169" i="2" a="1"/>
  <c r="AE152" i="2" a="1"/>
  <c r="AE173" i="2" a="1"/>
  <c r="AE143" i="2" a="1"/>
  <c r="AE153" i="2" a="1"/>
  <c r="AE147" i="2" a="1"/>
  <c r="AE176" i="2" a="1"/>
  <c r="AE145" i="2" a="1"/>
  <c r="AE151" i="2" a="1"/>
  <c r="AE162" i="2" a="1"/>
  <c r="AE154" i="2" a="1"/>
  <c r="AE148" i="2" a="1"/>
  <c r="AE155" i="2" a="1"/>
  <c r="AE144" i="2" a="1"/>
  <c r="AE160" i="2" a="1"/>
  <c r="AE150" i="2" a="1"/>
  <c r="AE167" i="2" a="1"/>
  <c r="AE164" i="2" a="1"/>
  <c r="Q14" i="1" l="1"/>
  <c r="L8" i="6"/>
  <c r="L3" i="6"/>
  <c r="L6" i="6"/>
  <c r="L7" i="6"/>
  <c r="L5" i="6"/>
  <c r="P5" i="6"/>
  <c r="P6" i="6"/>
  <c r="P3" i="6"/>
  <c r="P4" i="6"/>
  <c r="J39" i="6"/>
  <c r="J36" i="6"/>
  <c r="J38" i="6"/>
  <c r="J37" i="6"/>
  <c r="J30" i="6"/>
  <c r="J34" i="6"/>
  <c r="J35" i="6"/>
  <c r="Q15" i="1"/>
  <c r="O7" i="1"/>
  <c r="O5" i="1"/>
  <c r="Q16" i="1"/>
  <c r="Q18" i="1"/>
  <c r="K4" i="2"/>
  <c r="L3" i="2" s="1"/>
  <c r="AP3" i="2" s="1"/>
  <c r="AE156" i="2"/>
  <c r="AI156" i="2" s="1"/>
  <c r="AE171" i="2"/>
  <c r="AI171" i="2" s="1"/>
  <c r="AE165" i="2"/>
  <c r="AI165" i="2" s="1"/>
  <c r="AE146" i="2"/>
  <c r="AI146" i="2" s="1"/>
  <c r="AE114" i="2"/>
  <c r="AI114" i="2" s="1"/>
  <c r="AE167" i="2"/>
  <c r="AI167" i="2" s="1"/>
  <c r="AE157" i="2"/>
  <c r="AI157" i="2" s="1"/>
  <c r="AE160" i="2"/>
  <c r="AI160" i="2" s="1"/>
  <c r="AE166" i="2"/>
  <c r="AI166" i="2" s="1"/>
  <c r="AE168" i="2"/>
  <c r="AI168" i="2" s="1"/>
  <c r="AE154" i="2"/>
  <c r="AI154" i="2" s="1"/>
  <c r="AE169" i="2"/>
  <c r="AI169" i="2" s="1"/>
  <c r="AE145" i="2"/>
  <c r="AI145" i="2" s="1"/>
  <c r="AE112" i="2"/>
  <c r="AI112" i="2" s="1"/>
  <c r="AE170" i="2"/>
  <c r="AI170" i="2" s="1"/>
  <c r="AE173" i="2"/>
  <c r="AI173" i="2" s="1"/>
  <c r="AE144" i="2"/>
  <c r="AI144" i="2" s="1"/>
  <c r="AE159" i="2"/>
  <c r="AI159" i="2" s="1"/>
  <c r="AE172" i="2"/>
  <c r="AI172" i="2" s="1"/>
  <c r="AE113" i="2"/>
  <c r="AI113" i="2" s="1"/>
  <c r="F17" i="6" s="1"/>
  <c r="P9" i="1" s="1"/>
  <c r="AE163" i="2"/>
  <c r="AI163" i="2" s="1"/>
  <c r="AE149" i="2"/>
  <c r="AI149" i="2" s="1"/>
  <c r="AE148" i="2"/>
  <c r="AI148" i="2" s="1"/>
  <c r="AE153" i="2"/>
  <c r="AI153" i="2" s="1"/>
  <c r="AE176" i="2"/>
  <c r="AI176" i="2" s="1"/>
  <c r="AE158" i="2"/>
  <c r="AI158" i="2" s="1"/>
  <c r="AE155" i="2"/>
  <c r="AI155" i="2" s="1"/>
  <c r="AE162" i="2"/>
  <c r="AI162" i="2" s="1"/>
  <c r="AE147" i="2"/>
  <c r="AI147" i="2" s="1"/>
  <c r="AE143" i="2"/>
  <c r="AI143" i="2" s="1"/>
  <c r="AE174" i="2"/>
  <c r="AI174" i="2" s="1"/>
  <c r="AE152" i="2"/>
  <c r="AI152" i="2" s="1"/>
  <c r="AE175" i="2"/>
  <c r="AI175" i="2" s="1"/>
  <c r="AE109" i="2"/>
  <c r="AI109" i="2" s="1"/>
  <c r="AE110" i="2"/>
  <c r="AI110" i="2" s="1"/>
  <c r="AE111" i="2"/>
  <c r="AI111" i="2" s="1"/>
  <c r="AE161" i="2"/>
  <c r="AI161" i="2" s="1"/>
  <c r="AE164" i="2"/>
  <c r="AI164" i="2" s="1"/>
  <c r="AE150" i="2"/>
  <c r="AI150" i="2" s="1"/>
  <c r="AE151" i="2"/>
  <c r="AI151" i="2" s="1"/>
  <c r="Q6" i="1"/>
  <c r="Q7" i="1" s="1"/>
  <c r="O6" i="1"/>
  <c r="G5" i="6"/>
  <c r="G4" i="6"/>
  <c r="G7" i="6"/>
  <c r="G8" i="6"/>
  <c r="P63" i="4"/>
  <c r="AI44" i="2"/>
  <c r="AI43" i="2"/>
  <c r="AI41" i="2"/>
  <c r="AI42" i="2"/>
  <c r="AI40" i="2"/>
  <c r="AI21" i="2"/>
  <c r="I17" i="6" s="1"/>
  <c r="M15" i="1"/>
  <c r="K15" i="1"/>
  <c r="K18" i="1"/>
  <c r="K17" i="1"/>
  <c r="K16" i="1"/>
  <c r="M13" i="1"/>
  <c r="K13" i="1"/>
  <c r="M17" i="1"/>
  <c r="K14" i="1"/>
  <c r="M18" i="1"/>
  <c r="M14" i="1"/>
  <c r="M16" i="1"/>
  <c r="W44" i="6" l="1"/>
  <c r="W46" i="6"/>
  <c r="W42" i="6"/>
  <c r="W43" i="6"/>
  <c r="W45" i="6"/>
  <c r="W41" i="6"/>
  <c r="L4" i="2"/>
  <c r="M3" i="2" s="1"/>
  <c r="AQ3" i="2" s="1"/>
  <c r="C17" i="6"/>
  <c r="M9" i="1" s="1"/>
  <c r="B24" i="6"/>
  <c r="C23" i="6"/>
  <c r="P62" i="4" l="1"/>
  <c r="E26" i="6"/>
  <c r="M4" i="2"/>
  <c r="N3" i="2" s="1"/>
  <c r="AR3" i="2" s="1"/>
  <c r="C19" i="6"/>
  <c r="B20" i="6" s="1"/>
  <c r="B19" i="6"/>
  <c r="C21" i="6"/>
  <c r="B22" i="6" s="1"/>
  <c r="C20" i="6"/>
  <c r="B21" i="6" s="1"/>
  <c r="F19" i="6"/>
  <c r="E20" i="6" s="1"/>
  <c r="F21" i="6"/>
  <c r="E22" i="6" s="1"/>
  <c r="F20" i="6"/>
  <c r="E21" i="6" s="1"/>
  <c r="E19" i="6"/>
  <c r="Q8" i="1"/>
  <c r="P61" i="4" s="1"/>
  <c r="N4" i="2" l="1"/>
  <c r="O3" i="2" s="1"/>
  <c r="O4" i="2" l="1"/>
  <c r="P3" i="2" s="1"/>
  <c r="AS3" i="2"/>
  <c r="P4" i="2" l="1"/>
  <c r="Q3" i="2" s="1"/>
  <c r="AT3" i="2"/>
  <c r="AU3" i="2" l="1"/>
  <c r="Q4" i="2"/>
  <c r="R3" i="2" s="1"/>
  <c r="AV3" i="2" l="1"/>
  <c r="R4" i="2"/>
  <c r="S3" i="2" s="1"/>
  <c r="AW3" i="2" l="1"/>
  <c r="S4" i="2"/>
  <c r="T3" i="2" s="1"/>
  <c r="AX3" i="2" l="1"/>
  <c r="T4" i="2"/>
  <c r="U3" i="2" s="1"/>
  <c r="U4" i="2" l="1"/>
  <c r="V3" i="2" s="1"/>
  <c r="AY3" i="2"/>
  <c r="AZ3" i="2" l="1"/>
  <c r="V4" i="2"/>
  <c r="W3" i="2" s="1"/>
  <c r="BA3" i="2" l="1"/>
  <c r="W4" i="2"/>
  <c r="X3" i="2" s="1"/>
  <c r="BB3" i="2" l="1"/>
  <c r="X4" i="2"/>
  <c r="Y3" i="2" s="1"/>
  <c r="BC3" i="2" l="1"/>
  <c r="Y4" i="2"/>
  <c r="Z3" i="2" s="1"/>
  <c r="Z4" i="2" l="1"/>
  <c r="AA3" i="2" s="1"/>
  <c r="BD3" i="2"/>
  <c r="BE3" i="2" l="1"/>
  <c r="AA4" i="2"/>
  <c r="AB3" i="2" s="1"/>
  <c r="BF3" i="2" l="1"/>
  <c r="AB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<sst xmlns="http://schemas.openxmlformats.org/spreadsheetml/2006/main" count="2175" uniqueCount="639">
  <si>
    <t>Rolemaster Unified</t>
  </si>
  <si>
    <t>Character Name</t>
  </si>
  <si>
    <t>Player Name</t>
  </si>
  <si>
    <t>Campaign</t>
  </si>
  <si>
    <t>Character Level</t>
  </si>
  <si>
    <t>Current Exp</t>
  </si>
  <si>
    <t>Target Exp</t>
  </si>
  <si>
    <t>Race</t>
  </si>
  <si>
    <t>Culture</t>
  </si>
  <si>
    <t>Profession</t>
  </si>
  <si>
    <t>Realm</t>
  </si>
  <si>
    <t>Age</t>
  </si>
  <si>
    <t>Weight</t>
  </si>
  <si>
    <t>Build</t>
  </si>
  <si>
    <t>Encumberence</t>
  </si>
  <si>
    <t>Max Pace</t>
  </si>
  <si>
    <t>Stat</t>
  </si>
  <si>
    <t>Agility (AG)</t>
  </si>
  <si>
    <t>Constitution (CO)</t>
  </si>
  <si>
    <t>Empathy (EM)</t>
  </si>
  <si>
    <t>Intuition (IN)</t>
  </si>
  <si>
    <t>Memory (ME)</t>
  </si>
  <si>
    <t>Quickness (QU)</t>
  </si>
  <si>
    <t>Presence (PR)</t>
  </si>
  <si>
    <t>Reasoning (RE)</t>
  </si>
  <si>
    <t>Self-Discipline (SD)</t>
  </si>
  <si>
    <t>Strength (ST)</t>
  </si>
  <si>
    <t>Pot</t>
  </si>
  <si>
    <t>Temp</t>
  </si>
  <si>
    <t>Bonus</t>
  </si>
  <si>
    <t>Total</t>
  </si>
  <si>
    <t>Misc</t>
  </si>
  <si>
    <t>Size</t>
  </si>
  <si>
    <t>Male</t>
  </si>
  <si>
    <t>Pace</t>
  </si>
  <si>
    <t>Creep</t>
  </si>
  <si>
    <t>Walk</t>
  </si>
  <si>
    <t>Jog</t>
  </si>
  <si>
    <t>Run</t>
  </si>
  <si>
    <t>Sprint</t>
  </si>
  <si>
    <t>Dash</t>
  </si>
  <si>
    <t>Per Rnd</t>
  </si>
  <si>
    <t>Per Phase</t>
  </si>
  <si>
    <t>Penalty/AP</t>
  </si>
  <si>
    <t>Load Limit</t>
  </si>
  <si>
    <t>Base Move Rate (BMR)</t>
  </si>
  <si>
    <t>Initiative</t>
  </si>
  <si>
    <t>--</t>
  </si>
  <si>
    <t>-25 or 1 AP</t>
  </si>
  <si>
    <t>-50 or 2 AP</t>
  </si>
  <si>
    <t>-75 or 3 AP</t>
  </si>
  <si>
    <t>4 AP</t>
  </si>
  <si>
    <t>4+ AP</t>
  </si>
  <si>
    <t>Stride</t>
  </si>
  <si>
    <t>Height (in)</t>
  </si>
  <si>
    <t>Weight (lbs)</t>
  </si>
  <si>
    <t>Hit Points</t>
  </si>
  <si>
    <t>Endurance</t>
  </si>
  <si>
    <t>Max</t>
  </si>
  <si>
    <t>Torso</t>
  </si>
  <si>
    <t>Head</t>
  </si>
  <si>
    <t>Arms</t>
  </si>
  <si>
    <t>Legs</t>
  </si>
  <si>
    <t>Shield</t>
  </si>
  <si>
    <t>Armor</t>
  </si>
  <si>
    <t>AT</t>
  </si>
  <si>
    <t>STR</t>
  </si>
  <si>
    <t>DB</t>
  </si>
  <si>
    <t>Resistance Rolls</t>
  </si>
  <si>
    <t>Lvl x2</t>
  </si>
  <si>
    <t>Channeling</t>
  </si>
  <si>
    <t>Essence</t>
  </si>
  <si>
    <t>Mentalism</t>
  </si>
  <si>
    <t>Physical</t>
  </si>
  <si>
    <t>Fear</t>
  </si>
  <si>
    <t>IN</t>
  </si>
  <si>
    <t>EM</t>
  </si>
  <si>
    <t>PR</t>
  </si>
  <si>
    <t>CO</t>
  </si>
  <si>
    <t>SD</t>
  </si>
  <si>
    <t>Low</t>
  </si>
  <si>
    <t>Pen</t>
  </si>
  <si>
    <t>Recovery</t>
  </si>
  <si>
    <t>Bonus Dev</t>
  </si>
  <si>
    <t>Bonus End</t>
  </si>
  <si>
    <t>Category</t>
  </si>
  <si>
    <t>Name</t>
  </si>
  <si>
    <t>Specialization</t>
  </si>
  <si>
    <t>Stats</t>
  </si>
  <si>
    <t>Ranks</t>
  </si>
  <si>
    <t>Knack</t>
  </si>
  <si>
    <t>Total Bonus</t>
  </si>
  <si>
    <t>DP Cost</t>
  </si>
  <si>
    <t>Animal</t>
  </si>
  <si>
    <t>Animal Handling</t>
  </si>
  <si>
    <t>Riding</t>
  </si>
  <si>
    <t>AG+EM+PR</t>
  </si>
  <si>
    <t>Rank Bonus</t>
  </si>
  <si>
    <t>Prof Bonus</t>
  </si>
  <si>
    <t>Stat  Bonus</t>
  </si>
  <si>
    <t>Awareness</t>
  </si>
  <si>
    <t>Perception</t>
  </si>
  <si>
    <t>Tracking</t>
  </si>
  <si>
    <t>IN+RE+SD</t>
  </si>
  <si>
    <t>Battle Expertise</t>
  </si>
  <si>
    <t>Mounted Combat</t>
  </si>
  <si>
    <t>Protect</t>
  </si>
  <si>
    <t>Restricted Quarters</t>
  </si>
  <si>
    <t>Subduing</t>
  </si>
  <si>
    <t>NA</t>
  </si>
  <si>
    <t>Body Discipline</t>
  </si>
  <si>
    <t>Adrenal Defense</t>
  </si>
  <si>
    <t>Adrenal Focus</t>
  </si>
  <si>
    <t>Adrenal Speed</t>
  </si>
  <si>
    <t>Adrenal Strength</t>
  </si>
  <si>
    <t>CO+SD+AG</t>
  </si>
  <si>
    <t>CO+SD+SD</t>
  </si>
  <si>
    <t>CO+SD+QU</t>
  </si>
  <si>
    <t>CO+SD+ST</t>
  </si>
  <si>
    <t>Brawn</t>
  </si>
  <si>
    <t>Body Development</t>
  </si>
  <si>
    <t>Fortitude</t>
  </si>
  <si>
    <t>Weight Training</t>
  </si>
  <si>
    <t>CO+SD+CO</t>
  </si>
  <si>
    <t>Combat Expertise</t>
  </si>
  <si>
    <t>Blind Fighting</t>
  </si>
  <si>
    <t>Disarm</t>
  </si>
  <si>
    <t>Footwork</t>
  </si>
  <si>
    <t>Multiple Attacks</t>
  </si>
  <si>
    <t>Reverse Strike</t>
  </si>
  <si>
    <t>Combat Training</t>
  </si>
  <si>
    <t>Melee</t>
  </si>
  <si>
    <t>Unarmed</t>
  </si>
  <si>
    <t>Ranged</t>
  </si>
  <si>
    <t>AG+ST+ST</t>
  </si>
  <si>
    <t>AG+ST+AG</t>
  </si>
  <si>
    <t>Composition</t>
  </si>
  <si>
    <t>Illusion Crafting</t>
  </si>
  <si>
    <t>Musical Composition</t>
  </si>
  <si>
    <t>Writing</t>
  </si>
  <si>
    <t>EM+IN+PR</t>
  </si>
  <si>
    <t>EM+IN+RE</t>
  </si>
  <si>
    <t>Crafting</t>
  </si>
  <si>
    <t>Culinary</t>
  </si>
  <si>
    <t>Drawing/Painting</t>
  </si>
  <si>
    <t>Fabric Craft</t>
  </si>
  <si>
    <t>Leathercraft</t>
  </si>
  <si>
    <t>Metalcraft</t>
  </si>
  <si>
    <t>Stonecraft</t>
  </si>
  <si>
    <t>Woodcraft</t>
  </si>
  <si>
    <t>AG+ME+SD</t>
  </si>
  <si>
    <t>AG+ME+IN</t>
  </si>
  <si>
    <t>AG+ME+ST</t>
  </si>
  <si>
    <t>Delving</t>
  </si>
  <si>
    <t>Attunement</t>
  </si>
  <si>
    <t>Runes</t>
  </si>
  <si>
    <t>Environmental</t>
  </si>
  <si>
    <t>Navigation</t>
  </si>
  <si>
    <t>Piloting</t>
  </si>
  <si>
    <t>Survival</t>
  </si>
  <si>
    <t>IN+ME+RE</t>
  </si>
  <si>
    <t>IN+ME+AG</t>
  </si>
  <si>
    <t>Acrobatics</t>
  </si>
  <si>
    <t>Contortions</t>
  </si>
  <si>
    <t>Jumping</t>
  </si>
  <si>
    <t>AG+QU+ST</t>
  </si>
  <si>
    <t>AG+QU+SD</t>
  </si>
  <si>
    <t>Lore</t>
  </si>
  <si>
    <t>Creature Lore</t>
  </si>
  <si>
    <t>Historic Lore</t>
  </si>
  <si>
    <t>Materials Lore</t>
  </si>
  <si>
    <t>Racial Lore</t>
  </si>
  <si>
    <t>Region Lore</t>
  </si>
  <si>
    <t>Religion/Philosophy</t>
  </si>
  <si>
    <t>Spell Lore</t>
  </si>
  <si>
    <t>ME+ME+RE</t>
  </si>
  <si>
    <t>Lore: Languages</t>
  </si>
  <si>
    <t>Spoken</t>
  </si>
  <si>
    <t>Written</t>
  </si>
  <si>
    <t>Magical Expertise</t>
  </si>
  <si>
    <t>Grace</t>
  </si>
  <si>
    <t>Spell Trickery</t>
  </si>
  <si>
    <t>Transcendence</t>
  </si>
  <si>
    <t>Medical</t>
  </si>
  <si>
    <t>Herbalism</t>
  </si>
  <si>
    <t>Medicine</t>
  </si>
  <si>
    <t>Poison Mastery</t>
  </si>
  <si>
    <t>Mental Discipline</t>
  </si>
  <si>
    <t>Control Lycanthropy</t>
  </si>
  <si>
    <t>Meditation</t>
  </si>
  <si>
    <t>Mental Focus</t>
  </si>
  <si>
    <t>PR+SD+SD</t>
  </si>
  <si>
    <t>Movement</t>
  </si>
  <si>
    <t>Climbing</t>
  </si>
  <si>
    <t>Flying</t>
  </si>
  <si>
    <t>Running</t>
  </si>
  <si>
    <t>Swimming</t>
  </si>
  <si>
    <t>AG+ST+CO</t>
  </si>
  <si>
    <t>Performance Art</t>
  </si>
  <si>
    <t>Acting</t>
  </si>
  <si>
    <t>Music</t>
  </si>
  <si>
    <t>Stage Magic</t>
  </si>
  <si>
    <t>EM+PR+ME</t>
  </si>
  <si>
    <t>EM+PR+AG</t>
  </si>
  <si>
    <t>Power Manipulation</t>
  </si>
  <si>
    <t>Directed Spells</t>
  </si>
  <si>
    <t>Power Development</t>
  </si>
  <si>
    <t>Power Projection</t>
  </si>
  <si>
    <t>RS+RS+ME</t>
  </si>
  <si>
    <t>RS+RS+AG</t>
  </si>
  <si>
    <t>RS+RS+CO</t>
  </si>
  <si>
    <t>RS+RS+SD</t>
  </si>
  <si>
    <t>Science</t>
  </si>
  <si>
    <t>Architecture</t>
  </si>
  <si>
    <t>Astronomy</t>
  </si>
  <si>
    <t>Engineering</t>
  </si>
  <si>
    <t>Mathematics</t>
  </si>
  <si>
    <t>ME+RE+RE</t>
  </si>
  <si>
    <t>Social</t>
  </si>
  <si>
    <t>Influence</t>
  </si>
  <si>
    <t>Charm</t>
  </si>
  <si>
    <t>Leadership</t>
  </si>
  <si>
    <t>Social Awareness</t>
  </si>
  <si>
    <t>Trading</t>
  </si>
  <si>
    <t>Duping</t>
  </si>
  <si>
    <t>Intimidation</t>
  </si>
  <si>
    <t>EM+IN+EM</t>
  </si>
  <si>
    <t>Subterfuge</t>
  </si>
  <si>
    <t>Ambush</t>
  </si>
  <si>
    <t>Concealment</t>
  </si>
  <si>
    <t>Stalking</t>
  </si>
  <si>
    <t>Trickery</t>
  </si>
  <si>
    <t>AG+SD+IN</t>
  </si>
  <si>
    <t>Technical</t>
  </si>
  <si>
    <t>Locks</t>
  </si>
  <si>
    <t>Mechanics</t>
  </si>
  <si>
    <t>Traps</t>
  </si>
  <si>
    <t>IN+RE+AG</t>
  </si>
  <si>
    <t>IN+RE+ME</t>
  </si>
  <si>
    <t>Vocation</t>
  </si>
  <si>
    <t>Administration</t>
  </si>
  <si>
    <t>Service</t>
  </si>
  <si>
    <t>Trade</t>
  </si>
  <si>
    <t>EM+ME+RE</t>
  </si>
  <si>
    <t>EM+ME+PR</t>
  </si>
  <si>
    <t>Realm Stat</t>
  </si>
  <si>
    <t>Rank Development</t>
  </si>
  <si>
    <t>Current Ranks</t>
  </si>
  <si>
    <t>Development Points Remaining -&gt;</t>
  </si>
  <si>
    <t>Development Points Available -&gt;</t>
  </si>
  <si>
    <t>Rank Development Calculations</t>
  </si>
  <si>
    <t>Table 2-4a: Profession Skill Costs</t>
  </si>
  <si>
    <t>No Profession</t>
  </si>
  <si>
    <t>Fighter</t>
  </si>
  <si>
    <t>Warrior Monk</t>
  </si>
  <si>
    <t>Thief</t>
  </si>
  <si>
    <t>Rogue</t>
  </si>
  <si>
    <t>Laborer</t>
  </si>
  <si>
    <t>Scholar</t>
  </si>
  <si>
    <t>Ranger</t>
  </si>
  <si>
    <t>Paladin</t>
  </si>
  <si>
    <t>Monk</t>
  </si>
  <si>
    <t>Magent</t>
  </si>
  <si>
    <t>Bard</t>
  </si>
  <si>
    <t>Dabbler</t>
  </si>
  <si>
    <t>Cleric</t>
  </si>
  <si>
    <t>Druid</t>
  </si>
  <si>
    <t>Magician</t>
  </si>
  <si>
    <t>Illusionist</t>
  </si>
  <si>
    <t>Mentalist</t>
  </si>
  <si>
    <t>Lay Healer</t>
  </si>
  <si>
    <t>Healer</t>
  </si>
  <si>
    <t>Mystic</t>
  </si>
  <si>
    <t>Sorcerer</t>
  </si>
  <si>
    <t>Combat Training 1</t>
  </si>
  <si>
    <t>Combat Training 2</t>
  </si>
  <si>
    <t>Combat Training 3</t>
  </si>
  <si>
    <t>Combat Training 4</t>
  </si>
  <si>
    <t>Gymnastics</t>
  </si>
  <si>
    <t>Base Spells</t>
  </si>
  <si>
    <t>Open Spells</t>
  </si>
  <si>
    <t>Magical Ritual</t>
  </si>
  <si>
    <t>Closed Spells</t>
  </si>
  <si>
    <t>Arcane</t>
  </si>
  <si>
    <t>Restricted Spells</t>
  </si>
  <si>
    <t>2/4</t>
  </si>
  <si>
    <t>2/3</t>
  </si>
  <si>
    <t>3/5</t>
  </si>
  <si>
    <t>1/3</t>
  </si>
  <si>
    <t>3/4</t>
  </si>
  <si>
    <t>4/6</t>
  </si>
  <si>
    <t>1/2</t>
  </si>
  <si>
    <t>7/10</t>
  </si>
  <si>
    <t>6/8</t>
  </si>
  <si>
    <t>5/7</t>
  </si>
  <si>
    <t>2/2</t>
  </si>
  <si>
    <t>15/20</t>
  </si>
  <si>
    <t>9/12</t>
  </si>
  <si>
    <t>15/15</t>
  </si>
  <si>
    <t>3/6</t>
  </si>
  <si>
    <t>.3/4</t>
  </si>
  <si>
    <t>12/15</t>
  </si>
  <si>
    <t>Reference</t>
  </si>
  <si>
    <t>Table 2-3: Cultures</t>
  </si>
  <si>
    <t>Skill</t>
  </si>
  <si>
    <t>Cosmopolitan</t>
  </si>
  <si>
    <t>Harsh</t>
  </si>
  <si>
    <t>Highland</t>
  </si>
  <si>
    <t>Mariner</t>
  </si>
  <si>
    <t>Nomad</t>
  </si>
  <si>
    <t>Reaver</t>
  </si>
  <si>
    <t>Rural</t>
  </si>
  <si>
    <t>Sylvan</t>
  </si>
  <si>
    <t>Underground</t>
  </si>
  <si>
    <t>Urban</t>
  </si>
  <si>
    <t>Maneuvering in Armor</t>
  </si>
  <si>
    <t>Weight-Training</t>
  </si>
  <si>
    <t>Melee Weapons</t>
  </si>
  <si>
    <t>Ranged Weapons</t>
  </si>
  <si>
    <t>Composition &amp; Performing Arts</t>
  </si>
  <si>
    <t>Crafting &amp; Vocation</t>
  </si>
  <si>
    <t>Languages</t>
  </si>
  <si>
    <t>Region (Own)</t>
  </si>
  <si>
    <t>Region (Neighboring)</t>
  </si>
  <si>
    <t>Other Lores</t>
  </si>
  <si>
    <t>Table 2-2a: Races</t>
  </si>
  <si>
    <t>Bonus DPs</t>
  </si>
  <si>
    <t>AG</t>
  </si>
  <si>
    <t>ME</t>
  </si>
  <si>
    <t>QU</t>
  </si>
  <si>
    <t>RE</t>
  </si>
  <si>
    <t>ST</t>
  </si>
  <si>
    <t>Base Hits</t>
  </si>
  <si>
    <t>Avinarc</t>
  </si>
  <si>
    <t>Dwarf</t>
  </si>
  <si>
    <t>Elf, Fair</t>
  </si>
  <si>
    <t>Elf, Grey</t>
  </si>
  <si>
    <t>Elf, High</t>
  </si>
  <si>
    <t>Elf, Wood</t>
  </si>
  <si>
    <t>Gnoll</t>
  </si>
  <si>
    <t>Gnome</t>
  </si>
  <si>
    <t>Goblin</t>
  </si>
  <si>
    <t>Gratar</t>
  </si>
  <si>
    <t>Half-Elf</t>
  </si>
  <si>
    <t>Halfling</t>
  </si>
  <si>
    <t>Hobgoblin</t>
  </si>
  <si>
    <t>Human, Cave</t>
  </si>
  <si>
    <t>Human, Common</t>
  </si>
  <si>
    <t>Human, High</t>
  </si>
  <si>
    <t>Human, Mixed</t>
  </si>
  <si>
    <t>Hvasstonn</t>
  </si>
  <si>
    <t>Idiyva</t>
  </si>
  <si>
    <t>Kobold</t>
  </si>
  <si>
    <t>Nycamerith</t>
  </si>
  <si>
    <t>Orc, Greater</t>
  </si>
  <si>
    <t>Orc, Grey</t>
  </si>
  <si>
    <t>Orc, Lesser</t>
  </si>
  <si>
    <t>Orc, Scrug</t>
  </si>
  <si>
    <t>Orc, Vard</t>
  </si>
  <si>
    <t>Plynos</t>
  </si>
  <si>
    <t>Sea-kral</t>
  </si>
  <si>
    <t>Sibbicai</t>
  </si>
  <si>
    <t>Sohleugir</t>
  </si>
  <si>
    <t>Sstoi'issluthi</t>
  </si>
  <si>
    <t>Troll</t>
  </si>
  <si>
    <t>Vulfen</t>
  </si>
  <si>
    <t>Female</t>
  </si>
  <si>
    <t>Height</t>
  </si>
  <si>
    <t>Talents</t>
  </si>
  <si>
    <t>M</t>
  </si>
  <si>
    <t>Acute Smell II
Light-Boned I
Natural Weaponry
Restricted Diet
Sight, Eagle
Wings, Vestigial</t>
  </si>
  <si>
    <t>Darkvision I
Inept V
Nightvision</t>
  </si>
  <si>
    <t>Efficient Sleeper II
Immune to Disease I
Nightvision</t>
  </si>
  <si>
    <t>Efficient Sleeper II
Immune to Disease I
Nightvision
Defensive Aura II
Golden Throat</t>
  </si>
  <si>
    <t>Efficient Sleeper II
Immune to Disease I
Nightvision
Hearing, Cat</t>
  </si>
  <si>
    <t>S</t>
  </si>
  <si>
    <t>Decreased Size I
Nightvision
Light Sensitivity I
Hearing, Hare
Prodigy II</t>
  </si>
  <si>
    <t>B</t>
  </si>
  <si>
    <t>Nightvision</t>
  </si>
  <si>
    <t>Darkvision I
Decreased Size I
Nightvision
Prodigy V
Light Sensitivity III</t>
  </si>
  <si>
    <t>Sight, Gecko
Recurved Musculature</t>
  </si>
  <si>
    <t>Efficient Sleeper I
Nightvision</t>
  </si>
  <si>
    <t>Decreased Size I
Prodigy II</t>
  </si>
  <si>
    <t>Darkvision II
Nightvision
Light Sensitivity I</t>
  </si>
  <si>
    <t>Increased Size I
Natural Weaponry
Restricted Diet</t>
  </si>
  <si>
    <t>Hearing, Cat
Natural Weaponry
Nightvision
Restricted Diet</t>
  </si>
  <si>
    <t>Decreased Size I
Darkvision I
Nightvision
Light Sensitivity II
Natural Weaponry, Lesser Attack</t>
  </si>
  <si>
    <t xml:space="preserve">Golden Throat
Hearing, Cat
Perfect Pitch I
Non-violent II
</t>
  </si>
  <si>
    <t>Darkvision I
Nightvision</t>
  </si>
  <si>
    <t>Darkvision II
Nightvision
Light Sensitivity II</t>
  </si>
  <si>
    <t>Darkvision I
Nightvision
Light Sensitivity I
Ambidextrous
Additional Limb Pair</t>
  </si>
  <si>
    <t>Darkvision II
Nightvision
Light Sensitivity II
Increased Size I</t>
  </si>
  <si>
    <t>Darkvision I
Nightvision
Light Sensitivity II</t>
  </si>
  <si>
    <t>Acute Smell II
Hearing, Cat
Restricted Diet
Natural Weaponry</t>
  </si>
  <si>
    <t>Nightvision
Extra Joints
Inept II</t>
  </si>
  <si>
    <t>Acute Smell III
Hearing, Dog
Natural Weaponry
Prodigy II</t>
  </si>
  <si>
    <t>Natural Armor III
Natural Weaponry
Sight, Gecko
Tetrachromatic Vision
Third Eyelid</t>
  </si>
  <si>
    <t>Heatsense
Natural Weaponry
Poison Injection
Strike Reflex</t>
  </si>
  <si>
    <t>Darkvision I
Inept V
Increased Size I
Light Sensitivity II
Natural Armor III
Natural Weaponry
Nightvision
Elemental Resistance III</t>
  </si>
  <si>
    <t>Acute Smell II
Hearing, Dog
Natural Weaponry
Restricted Diet
Frenzy</t>
  </si>
  <si>
    <t>Table 2-5a: Stat Bonuses (Extended)</t>
  </si>
  <si>
    <t>Stat Level</t>
  </si>
  <si>
    <t>1d10</t>
  </si>
  <si>
    <t>Deviation</t>
  </si>
  <si>
    <t>Additional Weight</t>
  </si>
  <si>
    <t>Priority</t>
  </si>
  <si>
    <t>Cost</t>
  </si>
  <si>
    <t>Cultural Definition</t>
  </si>
  <si>
    <t>Pre-Defined</t>
  </si>
  <si>
    <t>Speciality</t>
  </si>
  <si>
    <t>Assignment Total</t>
  </si>
  <si>
    <t>Languages - Spoken</t>
  </si>
  <si>
    <t>Languages - Written</t>
  </si>
  <si>
    <t>Home</t>
  </si>
  <si>
    <t>Neighbor</t>
  </si>
  <si>
    <t>Variable Assignments</t>
  </si>
  <si>
    <t>Dogs</t>
  </si>
  <si>
    <t>Horses</t>
  </si>
  <si>
    <t>Rank</t>
  </si>
  <si>
    <t>Prof
Skill</t>
  </si>
  <si>
    <t>Spells and Rituals</t>
  </si>
  <si>
    <t>Alteration</t>
  </si>
  <si>
    <t>Creation</t>
  </si>
  <si>
    <t>Defensive</t>
  </si>
  <si>
    <t>Destruction</t>
  </si>
  <si>
    <t>Elemental</t>
  </si>
  <si>
    <t>Healing</t>
  </si>
  <si>
    <t>Informational</t>
  </si>
  <si>
    <t>Summoning</t>
  </si>
  <si>
    <t>None</t>
  </si>
  <si>
    <t>Weapons and Attacks</t>
  </si>
  <si>
    <t>Str</t>
  </si>
  <si>
    <t>OB</t>
  </si>
  <si>
    <t>Table</t>
  </si>
  <si>
    <t>Fum</t>
  </si>
  <si>
    <t>+0</t>
  </si>
  <si>
    <t>-</t>
  </si>
  <si>
    <t>Wrestling</t>
  </si>
  <si>
    <t>Common</t>
  </si>
  <si>
    <t>Value</t>
  </si>
  <si>
    <t>Count</t>
  </si>
  <si>
    <t>Trapping</t>
  </si>
  <si>
    <t>Coins and Exchange</t>
  </si>
  <si>
    <t>Gold Crowns (gp)</t>
  </si>
  <si>
    <t>Silver Shillings (sp)</t>
  </si>
  <si>
    <t>Bronze Pieces (bp)</t>
  </si>
  <si>
    <t>Copper Pence (cp)</t>
  </si>
  <si>
    <t>1 gp = 10 sp = 100 bp = 1000 cp</t>
  </si>
  <si>
    <t>Coin Weight (1/64)</t>
  </si>
  <si>
    <t>Trappings Weight Total</t>
  </si>
  <si>
    <t>Carried Load</t>
  </si>
  <si>
    <t>Total Maneuver Penalty</t>
  </si>
  <si>
    <t>Equipment and Trappings</t>
  </si>
  <si>
    <t>Skills and Abilities</t>
  </si>
  <si>
    <t>Rigid Leather</t>
  </si>
  <si>
    <t>Maneuvers</t>
  </si>
  <si>
    <t>Max Attacks</t>
  </si>
  <si>
    <t>Location</t>
  </si>
  <si>
    <t>Gender</t>
  </si>
  <si>
    <t>Available Player Races</t>
  </si>
  <si>
    <t>roll 1</t>
  </si>
  <si>
    <t>roll 2</t>
  </si>
  <si>
    <t>roll 3</t>
  </si>
  <si>
    <t>Blade</t>
  </si>
  <si>
    <t>Chain</t>
  </si>
  <si>
    <t>Hafted</t>
  </si>
  <si>
    <t>Greater Blade</t>
  </si>
  <si>
    <t>Greater Chain</t>
  </si>
  <si>
    <t>Greater Hafted</t>
  </si>
  <si>
    <t>Pole Arm</t>
  </si>
  <si>
    <t>Exotic</t>
  </si>
  <si>
    <t>Bow</t>
  </si>
  <si>
    <t>Crossbow</t>
  </si>
  <si>
    <t>Sling</t>
  </si>
  <si>
    <t>Thrown</t>
  </si>
  <si>
    <t>Unarmed Attacks</t>
  </si>
  <si>
    <t>Strikes</t>
  </si>
  <si>
    <t>Sweeps &amp; Throws</t>
  </si>
  <si>
    <t>Beak</t>
  </si>
  <si>
    <t>Bite</t>
  </si>
  <si>
    <t>Claw</t>
  </si>
  <si>
    <t>Horn</t>
  </si>
  <si>
    <t>Ram</t>
  </si>
  <si>
    <t>Stinger</t>
  </si>
  <si>
    <t>Trample</t>
  </si>
  <si>
    <t>Table 6.4: Armor and Shields</t>
  </si>
  <si>
    <t>Strength</t>
  </si>
  <si>
    <t>Maneuver</t>
  </si>
  <si>
    <t>Heavy Cloth</t>
  </si>
  <si>
    <t>Soft Leather</t>
  </si>
  <si>
    <t>Hide Scale</t>
  </si>
  <si>
    <t>Laminar</t>
  </si>
  <si>
    <t>Metal Scale</t>
  </si>
  <si>
    <t>Mail</t>
  </si>
  <si>
    <t>Brigandine</t>
  </si>
  <si>
    <t>Plate</t>
  </si>
  <si>
    <t>Chest Armor</t>
  </si>
  <si>
    <t>Head Armor</t>
  </si>
  <si>
    <t>Arm Armor</t>
  </si>
  <si>
    <t>Leg Armor</t>
  </si>
  <si>
    <t>Shields</t>
  </si>
  <si>
    <t>Target</t>
  </si>
  <si>
    <t>Normal</t>
  </si>
  <si>
    <t>Full</t>
  </si>
  <si>
    <t>Wall</t>
  </si>
  <si>
    <t>Armor Pieces Combination</t>
  </si>
  <si>
    <t>Realm_Bonus</t>
  </si>
  <si>
    <t>Realms</t>
  </si>
  <si>
    <t>Channeling/Essence</t>
  </si>
  <si>
    <t>Channeling/Mentalism</t>
  </si>
  <si>
    <t>Essence/Mentalism</t>
  </si>
  <si>
    <t>Talent Choices</t>
  </si>
  <si>
    <t>Talents Value:</t>
  </si>
  <si>
    <t>Potential Statistic Rolls</t>
  </si>
  <si>
    <t>Character Generation Order</t>
  </si>
  <si>
    <t>Choose Race</t>
  </si>
  <si>
    <t>Choose Culture</t>
  </si>
  <si>
    <t>Choose Profession</t>
  </si>
  <si>
    <t>Choose Temporary Statistics</t>
  </si>
  <si>
    <t>Choose Talents</t>
  </si>
  <si>
    <t>Define Combat Training Priorities</t>
  </si>
  <si>
    <t>Define Cultural Skill Ranks</t>
  </si>
  <si>
    <t>Develop Skills</t>
  </si>
  <si>
    <t>Advance in level</t>
  </si>
  <si>
    <t>a:</t>
  </si>
  <si>
    <t>b:</t>
  </si>
  <si>
    <t>Roll stat gains for each stat</t>
  </si>
  <si>
    <t>Purchase/Acquire Trappings</t>
  </si>
  <si>
    <t>Elemental Bolts</t>
  </si>
  <si>
    <t>Illusionary Attacks</t>
  </si>
  <si>
    <t>Hurling</t>
  </si>
  <si>
    <t>Operation</t>
  </si>
  <si>
    <t>Repair &amp; Construction</t>
  </si>
  <si>
    <t>Choose</t>
  </si>
  <si>
    <t>Character:</t>
  </si>
  <si>
    <t>Defenses</t>
  </si>
  <si>
    <t>Offense</t>
  </si>
  <si>
    <t>Defensive Bonus</t>
  </si>
  <si>
    <t>Dodge</t>
  </si>
  <si>
    <t>Block</t>
  </si>
  <si>
    <t>Passive</t>
  </si>
  <si>
    <t>Partial</t>
  </si>
  <si>
    <t>Death</t>
  </si>
  <si>
    <t>Unconscious</t>
  </si>
  <si>
    <t>Fatigue (-5/per)</t>
  </si>
  <si>
    <t>Bleeding</t>
  </si>
  <si>
    <t>Suffer # hits per round</t>
  </si>
  <si>
    <t>Breakage</t>
  </si>
  <si>
    <t>Roll Breakage for affected location</t>
  </si>
  <si>
    <t>Fatigue</t>
  </si>
  <si>
    <t>Suffer additional Fatigue loss</t>
  </si>
  <si>
    <t>Grapple</t>
  </si>
  <si>
    <t>Contest of Feat of Strength</t>
  </si>
  <si>
    <t>Hits</t>
  </si>
  <si>
    <t>Suffer # additional hits</t>
  </si>
  <si>
    <t>Penalties</t>
  </si>
  <si>
    <t>Staggered</t>
  </si>
  <si>
    <t>-X on all checks</t>
  </si>
  <si>
    <t>-1 AP</t>
  </si>
  <si>
    <t>Prone</t>
  </si>
  <si>
    <t>2 AP to stand</t>
  </si>
  <si>
    <t>Knocked Back</t>
  </si>
  <si>
    <t>Forced movement</t>
  </si>
  <si>
    <t>Disoriented for 1 round</t>
  </si>
  <si>
    <t>Stun (-25, -50, -75)</t>
  </si>
  <si>
    <t>Injury Definitions</t>
  </si>
  <si>
    <t>Healing Mechanics</t>
  </si>
  <si>
    <t>Reference specific spell definitions</t>
  </si>
  <si>
    <t>Herbs</t>
  </si>
  <si>
    <t>General Recovery</t>
  </si>
  <si>
    <t>BD+CO-penalty vs table to determine time</t>
  </si>
  <si>
    <t>Organ Dressing</t>
  </si>
  <si>
    <t>Light wounds, -20 Medicine, 2-5 minutes</t>
  </si>
  <si>
    <t>Bleed, Pressure</t>
  </si>
  <si>
    <t>Stops 4/rnd, +20 Medicine, immediate</t>
  </si>
  <si>
    <t>Bleed, Stitches</t>
  </si>
  <si>
    <t>Light/Medium, +0 Medicine, 3 minutes/point of bleed</t>
  </si>
  <si>
    <t>Bleed, Tourniquet</t>
  </si>
  <si>
    <t>no Head, -20 Medicine, 2 rounds, bleed every minute</t>
  </si>
  <si>
    <t>Bleed, Cauterize</t>
  </si>
  <si>
    <t>+30-5/bleed Medicine, 1 round, table results</t>
  </si>
  <si>
    <t>Bone, Splint</t>
  </si>
  <si>
    <t>+20 Medicine, 2-5 minutes, limited to walk</t>
  </si>
  <si>
    <t>Burn, Water</t>
  </si>
  <si>
    <t>Burn, Salve</t>
  </si>
  <si>
    <t>+20 Medicine, 2-5  minutes, Light or Medium wnds</t>
  </si>
  <si>
    <t>+10 Medicine, 3-6 minutes, all  wounds</t>
  </si>
  <si>
    <t>Muscle, Splint</t>
  </si>
  <si>
    <t>+0 Medicine, 2-5 minutes</t>
  </si>
  <si>
    <t>Skin, Dressing</t>
  </si>
  <si>
    <t>+30 Medicine, 2-5 minutes</t>
  </si>
  <si>
    <t>Shock</t>
  </si>
  <si>
    <t>Basic penalties, +0 Medicine, 1 hour</t>
  </si>
  <si>
    <t>System Shock</t>
  </si>
  <si>
    <t>Timed Death, +0 Medicine each round to delay</t>
  </si>
  <si>
    <t>Spells/Magic</t>
  </si>
  <si>
    <t>Apply</t>
  </si>
  <si>
    <t>+30 Herbalism, 1-10 rnds to prepare, 10 minutes lifespan</t>
  </si>
  <si>
    <t>Brew</t>
  </si>
  <si>
    <t>+10 Herbalism/+20 Culinary, 20 min brew, 1 week lifespan</t>
  </si>
  <si>
    <t>Ingest</t>
  </si>
  <si>
    <t>Eaten, Nuts - 1 month, Berry - 1 day, or 1 week lifespan</t>
  </si>
  <si>
    <t>Liquid</t>
  </si>
  <si>
    <t>+10 Herbalism, 1-10 rnds to extract, 1-10 days lifespan</t>
  </si>
  <si>
    <t>Paste</t>
  </si>
  <si>
    <t>+0 Herbalism, 10 minutes, 1 week lifespan</t>
  </si>
  <si>
    <t>Powder</t>
  </si>
  <si>
    <t>+20 Herbalism, 5 minutes, 1 month lifespan</t>
  </si>
  <si>
    <t>Combat Reference</t>
  </si>
  <si>
    <t>Potential Stat Balance:</t>
  </si>
  <si>
    <t>Temp Stat Balance:</t>
  </si>
  <si>
    <t>Potential Stats Bonus</t>
  </si>
  <si>
    <t>Weight Allowance</t>
  </si>
  <si>
    <t>MMP</t>
  </si>
  <si>
    <t>Healing Boost</t>
  </si>
  <si>
    <t>Choose Potential Statistics</t>
  </si>
  <si>
    <t>Choose Height</t>
  </si>
  <si>
    <t>Choose Build</t>
  </si>
  <si>
    <t>Choose Deviation</t>
  </si>
  <si>
    <t>Tier</t>
  </si>
  <si>
    <t>Load</t>
  </si>
  <si>
    <t>Dash (x5)</t>
  </si>
  <si>
    <t>Sprint (x4)</t>
  </si>
  <si>
    <t>Run (x3)</t>
  </si>
  <si>
    <t>Jog (x2)</t>
  </si>
  <si>
    <t>Walk (x1)</t>
  </si>
  <si>
    <t>Rate</t>
  </si>
  <si>
    <t>Action Cost</t>
  </si>
  <si>
    <t>1 AP</t>
  </si>
  <si>
    <t>2 AP</t>
  </si>
  <si>
    <t>3 AP</t>
  </si>
  <si>
    <t>Action Penalty</t>
  </si>
  <si>
    <t>Armor Maneuver Penalty</t>
  </si>
  <si>
    <t>Charge Bonus</t>
  </si>
  <si>
    <t>+1</t>
  </si>
  <si>
    <t>+2</t>
  </si>
  <si>
    <t>Spell List</t>
  </si>
  <si>
    <t>Power Points</t>
  </si>
  <si>
    <t>Character Sheet version 1.04.2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</si>
</sst>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\+#,##0_);\-#,##0"/>
    <numFmt numFmtId="165" formatCode="\+#,##0.0_);\-#,##0.0"/>
    <numFmt numFmtId="166" formatCode="0.0%"/>
    <numFmt numFmtId="167" formatCode="0.0"/>
    <numFmt numFmtId="168" formatCode="\+#,##0.00_);\-#,##0.00"/>
    <numFmt numFmtId="169" formatCode="0.000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48"/>
      <color theme="1"/>
      <name val="Tolkien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6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2" borderId="5" xfId="0" applyFill="1" applyBorder="1"/>
    <xf numFmtId="0" fontId="0" fillId="2" borderId="8" xfId="0" applyFill="1" applyBorder="1"/>
    <xf numFmtId="0" fontId="0" fillId="2" borderId="10" xfId="0" applyFill="1" applyBorder="1"/>
    <xf numFmtId="0" fontId="0" fillId="2" borderId="8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0" borderId="17" xfId="0" applyBorder="1" applyAlignment="1">
      <alignment horizontal="center"/>
    </xf>
    <xf numFmtId="164" fontId="0" fillId="3" borderId="12" xfId="0" applyNumberFormat="1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164" fontId="0" fillId="3" borderId="9" xfId="0" applyNumberFormat="1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164" fontId="0" fillId="2" borderId="11" xfId="0" applyNumberFormat="1" applyFill="1" applyBorder="1" applyAlignment="1">
      <alignment horizontal="center"/>
    </xf>
    <xf numFmtId="164" fontId="0" fillId="3" borderId="13" xfId="0" applyNumberFormat="1" applyFill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7" xfId="0" applyBorder="1"/>
    <xf numFmtId="49" fontId="0" fillId="0" borderId="0" xfId="0" quotePrefix="1" applyNumberFormat="1" applyAlignment="1">
      <alignment horizontal="center"/>
    </xf>
    <xf numFmtId="49" fontId="0" fillId="0" borderId="17" xfId="0" applyNumberFormat="1" applyBorder="1" applyAlignment="1">
      <alignment horizontal="center"/>
    </xf>
    <xf numFmtId="0" fontId="0" fillId="0" borderId="10" xfId="0" applyBorder="1"/>
    <xf numFmtId="49" fontId="0" fillId="0" borderId="11" xfId="0" applyNumberFormat="1" applyBorder="1" applyAlignment="1">
      <alignment horizontal="center"/>
    </xf>
    <xf numFmtId="49" fontId="0" fillId="0" borderId="22" xfId="0" applyNumberFormat="1" applyBorder="1" applyAlignment="1">
      <alignment horizontal="center"/>
    </xf>
    <xf numFmtId="49" fontId="0" fillId="0" borderId="8" xfId="0" applyNumberFormat="1" applyBorder="1" applyAlignment="1">
      <alignment horizontal="left"/>
    </xf>
    <xf numFmtId="49" fontId="0" fillId="0" borderId="10" xfId="0" applyNumberFormat="1" applyBorder="1" applyAlignment="1">
      <alignment horizontal="left"/>
    </xf>
    <xf numFmtId="0" fontId="0" fillId="0" borderId="11" xfId="0" applyBorder="1" applyAlignment="1">
      <alignment horizontal="center"/>
    </xf>
    <xf numFmtId="0" fontId="0" fillId="0" borderId="22" xfId="0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1" xfId="0" applyNumberFormat="1" applyBorder="1" applyAlignment="1">
      <alignment horizontal="center"/>
    </xf>
    <xf numFmtId="9" fontId="0" fillId="0" borderId="0" xfId="1" applyFont="1" applyBorder="1" applyAlignment="1">
      <alignment horizontal="center"/>
    </xf>
    <xf numFmtId="0" fontId="0" fillId="0" borderId="17" xfId="0" applyBorder="1" applyAlignment="1">
      <alignment wrapText="1"/>
    </xf>
    <xf numFmtId="9" fontId="0" fillId="0" borderId="11" xfId="1" applyFont="1" applyBorder="1" applyAlignment="1">
      <alignment horizontal="center"/>
    </xf>
    <xf numFmtId="0" fontId="0" fillId="0" borderId="22" xfId="0" applyBorder="1" applyAlignment="1">
      <alignment wrapText="1"/>
    </xf>
    <xf numFmtId="164" fontId="0" fillId="0" borderId="17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165" fontId="0" fillId="0" borderId="17" xfId="0" applyNumberFormat="1" applyBorder="1" applyAlignment="1">
      <alignment horizontal="center"/>
    </xf>
    <xf numFmtId="165" fontId="0" fillId="0" borderId="22" xfId="0" applyNumberFormat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3" borderId="9" xfId="0" applyNumberFormat="1" applyFill="1" applyBorder="1" applyAlignment="1">
      <alignment horizontal="center"/>
    </xf>
    <xf numFmtId="165" fontId="0" fillId="3" borderId="13" xfId="0" applyNumberFormat="1" applyFill="1" applyBorder="1" applyAlignment="1">
      <alignment horizontal="center"/>
    </xf>
    <xf numFmtId="0" fontId="0" fillId="0" borderId="22" xfId="0" applyBorder="1"/>
    <xf numFmtId="0" fontId="0" fillId="2" borderId="27" xfId="0" applyFill="1" applyBorder="1" applyAlignment="1">
      <alignment horizontal="center"/>
    </xf>
    <xf numFmtId="0" fontId="0" fillId="2" borderId="28" xfId="0" applyFill="1" applyBorder="1" applyAlignment="1">
      <alignment horizontal="center"/>
    </xf>
    <xf numFmtId="165" fontId="0" fillId="3" borderId="29" xfId="0" applyNumberFormat="1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9" fontId="0" fillId="3" borderId="29" xfId="1" applyFont="1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2" borderId="0" xfId="0" applyFill="1"/>
    <xf numFmtId="164" fontId="0" fillId="3" borderId="11" xfId="0" applyNumberFormat="1" applyFill="1" applyBorder="1" applyAlignment="1">
      <alignment horizontal="center"/>
    </xf>
    <xf numFmtId="164" fontId="0" fillId="3" borderId="22" xfId="0" applyNumberForma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0" fillId="0" borderId="11" xfId="0" applyBorder="1"/>
    <xf numFmtId="0" fontId="0" fillId="4" borderId="0" xfId="0" applyFill="1" applyAlignment="1">
      <alignment horizontal="center"/>
    </xf>
    <xf numFmtId="0" fontId="6" fillId="0" borderId="0" xfId="0" applyFont="1" applyAlignment="1">
      <alignment horizontal="left"/>
    </xf>
    <xf numFmtId="0" fontId="6" fillId="0" borderId="11" xfId="0" applyFont="1" applyBorder="1" applyAlignment="1">
      <alignment horizontal="left"/>
    </xf>
    <xf numFmtId="0" fontId="6" fillId="4" borderId="0" xfId="0" applyFont="1" applyFill="1" applyAlignment="1">
      <alignment horizontal="left"/>
    </xf>
    <xf numFmtId="0" fontId="6" fillId="4" borderId="11" xfId="0" applyFont="1" applyFill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 applyAlignment="1">
      <alignment horizontal="center"/>
    </xf>
    <xf numFmtId="0" fontId="2" fillId="0" borderId="39" xfId="0" applyFont="1" applyBorder="1"/>
    <xf numFmtId="0" fontId="4" fillId="0" borderId="39" xfId="0" applyFont="1" applyBorder="1" applyAlignment="1">
      <alignment horizontal="left"/>
    </xf>
    <xf numFmtId="0" fontId="4" fillId="0" borderId="39" xfId="0" applyFont="1" applyBorder="1" applyAlignment="1">
      <alignment horizontal="center" wrapText="1"/>
    </xf>
    <xf numFmtId="0" fontId="2" fillId="0" borderId="39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4" fillId="0" borderId="39" xfId="0" applyFont="1" applyBorder="1" applyAlignment="1">
      <alignment horizontal="center"/>
    </xf>
    <xf numFmtId="0" fontId="0" fillId="5" borderId="8" xfId="0" applyFill="1" applyBorder="1"/>
    <xf numFmtId="0" fontId="0" fillId="5" borderId="0" xfId="0" applyFill="1" applyAlignment="1">
      <alignment horizontal="center"/>
    </xf>
    <xf numFmtId="0" fontId="4" fillId="5" borderId="0" xfId="0" applyFont="1" applyFill="1"/>
    <xf numFmtId="164" fontId="0" fillId="5" borderId="0" xfId="0" applyNumberFormat="1" applyFill="1" applyAlignment="1">
      <alignment horizontal="center"/>
    </xf>
    <xf numFmtId="164" fontId="0" fillId="5" borderId="17" xfId="0" applyNumberForma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4" borderId="0" xfId="0" applyFill="1"/>
    <xf numFmtId="0" fontId="0" fillId="4" borderId="11" xfId="0" applyFill="1" applyBorder="1"/>
    <xf numFmtId="1" fontId="4" fillId="2" borderId="0" xfId="0" applyNumberFormat="1" applyFont="1" applyFill="1" applyAlignment="1">
      <alignment horizontal="center"/>
    </xf>
    <xf numFmtId="0" fontId="0" fillId="2" borderId="6" xfId="0" applyFill="1" applyBorder="1"/>
    <xf numFmtId="0" fontId="0" fillId="2" borderId="7" xfId="0" applyFill="1" applyBorder="1"/>
    <xf numFmtId="0" fontId="0" fillId="0" borderId="32" xfId="0" applyBorder="1" applyAlignment="1">
      <alignment horizontal="center"/>
    </xf>
    <xf numFmtId="0" fontId="0" fillId="0" borderId="43" xfId="0" applyBorder="1" applyAlignment="1">
      <alignment horizontal="center"/>
    </xf>
    <xf numFmtId="2" fontId="0" fillId="3" borderId="7" xfId="0" applyNumberFormat="1" applyFill="1" applyBorder="1" applyAlignment="1">
      <alignment horizontal="center"/>
    </xf>
    <xf numFmtId="2" fontId="0" fillId="3" borderId="40" xfId="0" applyNumberFormat="1" applyFill="1" applyBorder="1" applyAlignment="1">
      <alignment horizontal="center"/>
    </xf>
    <xf numFmtId="167" fontId="0" fillId="0" borderId="32" xfId="0" applyNumberFormat="1" applyBorder="1" applyAlignment="1">
      <alignment horizontal="center"/>
    </xf>
    <xf numFmtId="9" fontId="0" fillId="3" borderId="1" xfId="0" applyNumberFormat="1" applyFill="1" applyBorder="1" applyAlignment="1">
      <alignment horizontal="center"/>
    </xf>
    <xf numFmtId="167" fontId="0" fillId="3" borderId="32" xfId="0" applyNumberFormat="1" applyFill="1" applyBorder="1" applyAlignment="1">
      <alignment horizontal="center"/>
    </xf>
    <xf numFmtId="164" fontId="0" fillId="0" borderId="0" xfId="0" applyNumberFormat="1"/>
    <xf numFmtId="0" fontId="4" fillId="3" borderId="17" xfId="0" applyFont="1" applyFill="1" applyBorder="1" applyAlignment="1">
      <alignment horizontal="center"/>
    </xf>
    <xf numFmtId="164" fontId="4" fillId="3" borderId="17" xfId="0" applyNumberFormat="1" applyFont="1" applyFill="1" applyBorder="1" applyAlignment="1">
      <alignment horizontal="center"/>
    </xf>
    <xf numFmtId="167" fontId="0" fillId="0" borderId="9" xfId="0" applyNumberFormat="1" applyBorder="1" applyAlignment="1">
      <alignment horizontal="center"/>
    </xf>
    <xf numFmtId="167" fontId="0" fillId="0" borderId="30" xfId="0" applyNumberFormat="1" applyBorder="1" applyAlignment="1">
      <alignment horizontal="center"/>
    </xf>
    <xf numFmtId="2" fontId="4" fillId="3" borderId="17" xfId="0" applyNumberFormat="1" applyFont="1" applyFill="1" applyBorder="1" applyAlignment="1">
      <alignment horizontal="center"/>
    </xf>
    <xf numFmtId="0" fontId="4" fillId="3" borderId="22" xfId="0" applyFont="1" applyFill="1" applyBorder="1" applyAlignment="1">
      <alignment horizontal="center"/>
    </xf>
    <xf numFmtId="164" fontId="0" fillId="0" borderId="0" xfId="1" applyNumberFormat="1" applyFont="1"/>
    <xf numFmtId="49" fontId="0" fillId="0" borderId="0" xfId="0" applyNumberFormat="1" applyAlignment="1">
      <alignment horizontal="left"/>
    </xf>
    <xf numFmtId="9" fontId="0" fillId="0" borderId="6" xfId="1" applyFont="1" applyBorder="1"/>
    <xf numFmtId="0" fontId="0" fillId="0" borderId="6" xfId="1" applyNumberFormat="1" applyFont="1" applyBorder="1"/>
    <xf numFmtId="164" fontId="0" fillId="0" borderId="6" xfId="1" applyNumberFormat="1" applyFont="1" applyBorder="1"/>
    <xf numFmtId="9" fontId="0" fillId="0" borderId="0" xfId="1" applyFont="1" applyBorder="1"/>
    <xf numFmtId="0" fontId="0" fillId="0" borderId="0" xfId="1" applyNumberFormat="1" applyFont="1" applyBorder="1"/>
    <xf numFmtId="164" fontId="0" fillId="0" borderId="0" xfId="1" applyNumberFormat="1" applyFont="1" applyBorder="1"/>
    <xf numFmtId="9" fontId="0" fillId="0" borderId="11" xfId="1" applyFont="1" applyBorder="1"/>
    <xf numFmtId="0" fontId="0" fillId="0" borderId="11" xfId="1" applyNumberFormat="1" applyFont="1" applyBorder="1"/>
    <xf numFmtId="164" fontId="0" fillId="0" borderId="11" xfId="0" applyNumberFormat="1" applyBorder="1"/>
    <xf numFmtId="164" fontId="0" fillId="0" borderId="11" xfId="1" applyNumberFormat="1" applyFont="1" applyBorder="1"/>
    <xf numFmtId="0" fontId="0" fillId="3" borderId="17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0" borderId="50" xfId="0" applyBorder="1"/>
    <xf numFmtId="0" fontId="0" fillId="0" borderId="51" xfId="0" applyBorder="1"/>
    <xf numFmtId="0" fontId="0" fillId="0" borderId="52" xfId="0" applyBorder="1"/>
    <xf numFmtId="1" fontId="4" fillId="0" borderId="0" xfId="0" applyNumberFormat="1" applyFont="1" applyAlignment="1">
      <alignment horizontal="center"/>
    </xf>
    <xf numFmtId="0" fontId="0" fillId="5" borderId="0" xfId="0" applyFill="1"/>
    <xf numFmtId="0" fontId="0" fillId="5" borderId="17" xfId="0" applyFill="1" applyBorder="1"/>
    <xf numFmtId="0" fontId="0" fillId="3" borderId="7" xfId="0" applyFill="1" applyBorder="1" applyAlignment="1">
      <alignment horizontal="center"/>
    </xf>
    <xf numFmtId="169" fontId="0" fillId="3" borderId="22" xfId="0" applyNumberFormat="1" applyFill="1" applyBorder="1" applyAlignment="1">
      <alignment horizontal="center"/>
    </xf>
    <xf numFmtId="0" fontId="0" fillId="0" borderId="32" xfId="0" applyBorder="1" applyAlignment="1">
      <alignment horizontal="left"/>
    </xf>
    <xf numFmtId="0" fontId="0" fillId="0" borderId="33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0" borderId="20" xfId="0" applyBorder="1" applyAlignment="1">
      <alignment horizontal="center"/>
    </xf>
    <xf numFmtId="164" fontId="0" fillId="3" borderId="32" xfId="0" applyNumberFormat="1" applyFill="1" applyBorder="1" applyAlignment="1">
      <alignment horizontal="center"/>
    </xf>
    <xf numFmtId="164" fontId="0" fillId="3" borderId="30" xfId="0" applyNumberFormat="1" applyFill="1" applyBorder="1" applyAlignment="1">
      <alignment horizontal="center"/>
    </xf>
    <xf numFmtId="0" fontId="0" fillId="0" borderId="1" xfId="0" applyBorder="1"/>
    <xf numFmtId="0" fontId="0" fillId="0" borderId="12" xfId="0" applyBorder="1"/>
    <xf numFmtId="164" fontId="0" fillId="3" borderId="20" xfId="0" applyNumberFormat="1" applyFill="1" applyBorder="1" applyAlignment="1">
      <alignment horizontal="center"/>
    </xf>
    <xf numFmtId="164" fontId="0" fillId="5" borderId="9" xfId="0" applyNumberFormat="1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60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1" xfId="0" applyFill="1" applyBorder="1" applyAlignment="1">
      <alignment horizontal="center"/>
    </xf>
    <xf numFmtId="0" fontId="0" fillId="2" borderId="62" xfId="0" applyFill="1" applyBorder="1" applyAlignment="1">
      <alignment horizontal="center"/>
    </xf>
    <xf numFmtId="164" fontId="0" fillId="3" borderId="63" xfId="0" applyNumberForma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3" xfId="0" applyBorder="1" applyAlignment="1">
      <alignment horizontal="center"/>
    </xf>
    <xf numFmtId="164" fontId="0" fillId="5" borderId="54" xfId="0" applyNumberFormat="1" applyFill="1" applyBorder="1" applyAlignment="1">
      <alignment horizontal="center"/>
    </xf>
    <xf numFmtId="0" fontId="0" fillId="0" borderId="9" xfId="0" applyBorder="1"/>
    <xf numFmtId="0" fontId="0" fillId="0" borderId="13" xfId="0" applyBorder="1"/>
    <xf numFmtId="0" fontId="0" fillId="2" borderId="11" xfId="0" applyFill="1" applyBorder="1"/>
    <xf numFmtId="167" fontId="0" fillId="0" borderId="0" xfId="2" applyNumberFormat="1" applyFont="1"/>
    <xf numFmtId="167" fontId="0" fillId="0" borderId="0" xfId="0" applyNumberFormat="1"/>
    <xf numFmtId="0" fontId="0" fillId="0" borderId="57" xfId="0" applyBorder="1" applyAlignment="1">
      <alignment horizontal="left"/>
    </xf>
    <xf numFmtId="164" fontId="0" fillId="0" borderId="9" xfId="0" applyNumberFormat="1" applyBorder="1" applyAlignment="1">
      <alignment horizontal="center"/>
    </xf>
    <xf numFmtId="0" fontId="0" fillId="2" borderId="0" xfId="0" applyFill="1" applyAlignment="1">
      <alignment horizontal="center"/>
    </xf>
    <xf numFmtId="164" fontId="0" fillId="3" borderId="48" xfId="0" applyNumberFormat="1" applyFill="1" applyBorder="1" applyAlignment="1">
      <alignment horizontal="center"/>
    </xf>
    <xf numFmtId="168" fontId="0" fillId="2" borderId="25" xfId="0" applyNumberFormat="1" applyFill="1" applyBorder="1" applyAlignment="1">
      <alignment horizontal="center"/>
    </xf>
    <xf numFmtId="168" fontId="6" fillId="3" borderId="11" xfId="0" applyNumberFormat="1" applyFont="1" applyFill="1" applyBorder="1"/>
    <xf numFmtId="49" fontId="0" fillId="0" borderId="5" xfId="0" applyNumberFormat="1" applyBorder="1" applyAlignment="1">
      <alignment horizontal="left"/>
    </xf>
    <xf numFmtId="2" fontId="0" fillId="0" borderId="17" xfId="0" applyNumberFormat="1" applyBorder="1"/>
    <xf numFmtId="2" fontId="0" fillId="0" borderId="22" xfId="0" applyNumberFormat="1" applyBorder="1"/>
    <xf numFmtId="164" fontId="0" fillId="0" borderId="13" xfId="0" applyNumberFormat="1" applyBorder="1" applyAlignment="1">
      <alignment horizontal="center"/>
    </xf>
    <xf numFmtId="164" fontId="4" fillId="3" borderId="12" xfId="0" applyNumberFormat="1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3" borderId="53" xfId="0" applyFill="1" applyBorder="1" applyAlignment="1">
      <alignment horizontal="center"/>
    </xf>
    <xf numFmtId="0" fontId="0" fillId="0" borderId="6" xfId="0" applyBorder="1" applyAlignment="1">
      <alignment horizontal="center"/>
    </xf>
    <xf numFmtId="164" fontId="0" fillId="3" borderId="53" xfId="0" applyNumberFormat="1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166" fontId="0" fillId="0" borderId="5" xfId="1" applyNumberFormat="1" applyFont="1" applyBorder="1" applyAlignment="1">
      <alignment horizontal="center"/>
    </xf>
    <xf numFmtId="167" fontId="0" fillId="0" borderId="6" xfId="0" applyNumberFormat="1" applyBorder="1" applyAlignment="1">
      <alignment horizontal="center"/>
    </xf>
    <xf numFmtId="166" fontId="0" fillId="0" borderId="8" xfId="1" applyNumberFormat="1" applyFont="1" applyBorder="1" applyAlignment="1">
      <alignment horizontal="center"/>
    </xf>
    <xf numFmtId="167" fontId="0" fillId="0" borderId="0" xfId="0" applyNumberFormat="1" applyAlignment="1">
      <alignment horizontal="center"/>
    </xf>
    <xf numFmtId="166" fontId="0" fillId="0" borderId="10" xfId="1" applyNumberFormat="1" applyFont="1" applyBorder="1" applyAlignment="1">
      <alignment horizontal="center"/>
    </xf>
    <xf numFmtId="167" fontId="0" fillId="0" borderId="11" xfId="0" applyNumberFormat="1" applyBorder="1" applyAlignment="1">
      <alignment horizontal="center"/>
    </xf>
    <xf numFmtId="166" fontId="0" fillId="0" borderId="70" xfId="1" applyNumberFormat="1" applyFont="1" applyBorder="1" applyAlignment="1">
      <alignment horizontal="center"/>
    </xf>
    <xf numFmtId="166" fontId="0" fillId="0" borderId="71" xfId="1" applyNumberFormat="1" applyFont="1" applyBorder="1" applyAlignment="1">
      <alignment horizontal="center"/>
    </xf>
    <xf numFmtId="166" fontId="0" fillId="0" borderId="72" xfId="1" applyNumberFormat="1" applyFont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2" fillId="0" borderId="42" xfId="0" applyFont="1" applyBorder="1"/>
    <xf numFmtId="0" fontId="2" fillId="0" borderId="64" xfId="0" applyFont="1" applyBorder="1"/>
    <xf numFmtId="0" fontId="2" fillId="0" borderId="0" xfId="0" applyFont="1"/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1" fontId="0" fillId="3" borderId="12" xfId="0" applyNumberFormat="1" applyFill="1" applyBorder="1" applyAlignment="1">
      <alignment horizontal="center"/>
    </xf>
    <xf numFmtId="0" fontId="11" fillId="0" borderId="6" xfId="0" applyFont="1" applyBorder="1" applyAlignment="1">
      <alignment horizontal="center" vertical="center" textRotation="90"/>
    </xf>
    <xf numFmtId="0" fontId="11" fillId="0" borderId="0" xfId="0" applyFont="1" applyAlignment="1">
      <alignment horizontal="center" vertical="center" textRotation="90"/>
    </xf>
    <xf numFmtId="0" fontId="11" fillId="0" borderId="11" xfId="0" applyFont="1" applyBorder="1" applyAlignment="1">
      <alignment horizontal="center" vertical="center" textRotation="90"/>
    </xf>
    <xf numFmtId="0" fontId="11" fillId="0" borderId="7" xfId="0" applyFont="1" applyBorder="1" applyAlignment="1">
      <alignment horizontal="center" vertical="center" textRotation="90"/>
    </xf>
    <xf numFmtId="0" fontId="11" fillId="0" borderId="17" xfId="0" applyFont="1" applyBorder="1" applyAlignment="1">
      <alignment horizontal="center" vertical="center" textRotation="90"/>
    </xf>
    <xf numFmtId="0" fontId="11" fillId="0" borderId="22" xfId="0" applyFont="1" applyBorder="1" applyAlignment="1">
      <alignment horizontal="center" vertical="center" textRotation="90"/>
    </xf>
    <xf numFmtId="0" fontId="0" fillId="0" borderId="58" xfId="0" applyBorder="1" applyAlignment="1">
      <alignment horizontal="left"/>
    </xf>
    <xf numFmtId="0" fontId="0" fillId="0" borderId="31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25" xfId="0" applyBorder="1" applyAlignment="1">
      <alignment horizontal="left"/>
    </xf>
    <xf numFmtId="0" fontId="3" fillId="0" borderId="50" xfId="0" applyFont="1" applyBorder="1" applyAlignment="1">
      <alignment horizontal="center" vertical="center" textRotation="90"/>
    </xf>
    <xf numFmtId="0" fontId="3" fillId="0" borderId="51" xfId="0" applyFont="1" applyBorder="1" applyAlignment="1">
      <alignment horizontal="center" vertical="center" textRotation="90"/>
    </xf>
    <xf numFmtId="0" fontId="3" fillId="0" borderId="52" xfId="0" applyFont="1" applyBorder="1" applyAlignment="1">
      <alignment horizontal="center" vertical="center" textRotation="90"/>
    </xf>
    <xf numFmtId="0" fontId="0" fillId="0" borderId="57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0" borderId="32" xfId="0" applyBorder="1" applyAlignment="1">
      <alignment horizontal="left"/>
    </xf>
    <xf numFmtId="0" fontId="0" fillId="0" borderId="33" xfId="0" applyBorder="1" applyAlignment="1">
      <alignment horizontal="left"/>
    </xf>
    <xf numFmtId="0" fontId="0" fillId="0" borderId="41" xfId="0" applyBorder="1" applyAlignment="1">
      <alignment horizontal="left"/>
    </xf>
    <xf numFmtId="0" fontId="0" fillId="0" borderId="42" xfId="0" applyBorder="1" applyAlignment="1">
      <alignment horizontal="left"/>
    </xf>
    <xf numFmtId="0" fontId="0" fillId="2" borderId="20" xfId="0" applyFill="1" applyBorder="1" applyAlignment="1">
      <alignment horizontal="left"/>
    </xf>
    <xf numFmtId="0" fontId="0" fillId="2" borderId="21" xfId="0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9" xfId="0" applyFill="1" applyBorder="1" applyAlignment="1">
      <alignment horizontal="left"/>
    </xf>
    <xf numFmtId="0" fontId="0" fillId="2" borderId="12" xfId="0" applyFill="1" applyBorder="1" applyAlignment="1">
      <alignment horizontal="left"/>
    </xf>
    <xf numFmtId="0" fontId="0" fillId="2" borderId="13" xfId="0" applyFill="1" applyBorder="1" applyAlignment="1">
      <alignment horizontal="left"/>
    </xf>
    <xf numFmtId="0" fontId="0" fillId="0" borderId="64" xfId="0" applyBorder="1" applyAlignment="1">
      <alignment horizontal="left"/>
    </xf>
    <xf numFmtId="0" fontId="8" fillId="2" borderId="5" xfId="0" applyFont="1" applyFill="1" applyBorder="1" applyAlignment="1">
      <alignment horizontal="center" vertical="center" textRotation="90"/>
    </xf>
    <xf numFmtId="0" fontId="8" fillId="2" borderId="8" xfId="0" applyFont="1" applyFill="1" applyBorder="1" applyAlignment="1">
      <alignment horizontal="center" vertical="center" textRotation="90"/>
    </xf>
    <xf numFmtId="0" fontId="8" fillId="2" borderId="10" xfId="0" applyFont="1" applyFill="1" applyBorder="1" applyAlignment="1">
      <alignment horizontal="center" vertical="center" textRotation="90"/>
    </xf>
    <xf numFmtId="164" fontId="10" fillId="3" borderId="66" xfId="0" applyNumberFormat="1" applyFont="1" applyFill="1" applyBorder="1" applyAlignment="1">
      <alignment horizontal="center" vertical="center"/>
    </xf>
    <xf numFmtId="0" fontId="10" fillId="3" borderId="20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textRotation="90"/>
    </xf>
    <xf numFmtId="0" fontId="2" fillId="2" borderId="8" xfId="0" applyFont="1" applyFill="1" applyBorder="1" applyAlignment="1">
      <alignment horizontal="center" vertical="center" textRotation="90"/>
    </xf>
    <xf numFmtId="0" fontId="2" fillId="2" borderId="10" xfId="0" applyFont="1" applyFill="1" applyBorder="1" applyAlignment="1">
      <alignment horizontal="center" vertical="center" textRotation="90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0" fillId="0" borderId="9" xfId="0" applyBorder="1" applyAlignment="1">
      <alignment horizontal="left"/>
    </xf>
    <xf numFmtId="167" fontId="0" fillId="3" borderId="1" xfId="0" applyNumberFormat="1" applyFill="1" applyBorder="1" applyAlignment="1">
      <alignment horizontal="center"/>
    </xf>
    <xf numFmtId="0" fontId="0" fillId="3" borderId="32" xfId="0" quotePrefix="1" applyFill="1" applyBorder="1" applyAlignment="1">
      <alignment horizontal="center"/>
    </xf>
    <xf numFmtId="0" fontId="0" fillId="3" borderId="34" xfId="0" quotePrefix="1" applyFill="1" applyBorder="1" applyAlignment="1">
      <alignment horizontal="center"/>
    </xf>
    <xf numFmtId="164" fontId="0" fillId="3" borderId="32" xfId="0" quotePrefix="1" applyNumberFormat="1" applyFill="1" applyBorder="1" applyAlignment="1">
      <alignment horizontal="center"/>
    </xf>
    <xf numFmtId="167" fontId="0" fillId="3" borderId="1" xfId="2" quotePrefix="1" applyNumberFormat="1" applyFont="1" applyFill="1" applyBorder="1" applyAlignment="1">
      <alignment horizontal="center"/>
    </xf>
    <xf numFmtId="167" fontId="0" fillId="3" borderId="9" xfId="2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7" xfId="0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4" fontId="2" fillId="0" borderId="15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167" fontId="0" fillId="3" borderId="53" xfId="0" applyNumberFormat="1" applyFill="1" applyBorder="1" applyAlignment="1">
      <alignment horizontal="center"/>
    </xf>
    <xf numFmtId="167" fontId="0" fillId="3" borderId="53" xfId="2" applyNumberFormat="1" applyFont="1" applyFill="1" applyBorder="1" applyAlignment="1">
      <alignment horizontal="center"/>
    </xf>
    <xf numFmtId="167" fontId="0" fillId="3" borderId="54" xfId="2" applyNumberFormat="1" applyFont="1" applyFill="1" applyBorder="1" applyAlignment="1">
      <alignment horizontal="center"/>
    </xf>
    <xf numFmtId="0" fontId="0" fillId="2" borderId="57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2" borderId="46" xfId="0" applyFill="1" applyBorder="1" applyAlignment="1">
      <alignment horizontal="center"/>
    </xf>
    <xf numFmtId="0" fontId="0" fillId="3" borderId="8" xfId="0" applyFill="1" applyBorder="1" applyAlignment="1">
      <alignment horizontal="left"/>
    </xf>
    <xf numFmtId="0" fontId="0" fillId="3" borderId="0" xfId="0" applyFill="1" applyAlignment="1">
      <alignment horizontal="left"/>
    </xf>
    <xf numFmtId="0" fontId="0" fillId="2" borderId="0" xfId="0" applyFill="1" applyAlignment="1">
      <alignment horizontal="left"/>
    </xf>
    <xf numFmtId="0" fontId="0" fillId="2" borderId="17" xfId="0" applyFill="1" applyBorder="1" applyAlignment="1">
      <alignment horizontal="left"/>
    </xf>
    <xf numFmtId="0" fontId="0" fillId="2" borderId="6" xfId="0" applyFill="1" applyBorder="1" applyAlignment="1">
      <alignment horizontal="center"/>
    </xf>
    <xf numFmtId="0" fontId="0" fillId="2" borderId="44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3" borderId="1" xfId="0" quotePrefix="1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167" fontId="0" fillId="3" borderId="34" xfId="0" applyNumberFormat="1" applyFill="1" applyBorder="1"/>
    <xf numFmtId="0" fontId="0" fillId="2" borderId="11" xfId="0" applyFill="1" applyBorder="1" applyAlignment="1">
      <alignment horizontal="left"/>
    </xf>
    <xf numFmtId="0" fontId="0" fillId="2" borderId="22" xfId="0" applyFill="1" applyBorder="1" applyAlignment="1">
      <alignment horizontal="left"/>
    </xf>
    <xf numFmtId="0" fontId="2" fillId="2" borderId="58" xfId="0" applyFont="1" applyFill="1" applyBorder="1" applyAlignment="1">
      <alignment horizontal="center"/>
    </xf>
    <xf numFmtId="0" fontId="2" fillId="2" borderId="31" xfId="0" applyFont="1" applyFill="1" applyBorder="1" applyAlignment="1">
      <alignment horizontal="center"/>
    </xf>
    <xf numFmtId="164" fontId="2" fillId="3" borderId="56" xfId="0" applyNumberFormat="1" applyFont="1" applyFill="1" applyBorder="1" applyAlignment="1">
      <alignment horizontal="left"/>
    </xf>
    <xf numFmtId="164" fontId="2" fillId="3" borderId="0" xfId="0" applyNumberFormat="1" applyFont="1" applyFill="1" applyAlignment="1">
      <alignment horizontal="left"/>
    </xf>
    <xf numFmtId="164" fontId="2" fillId="3" borderId="59" xfId="0" applyNumberFormat="1" applyFont="1" applyFill="1" applyBorder="1" applyAlignment="1">
      <alignment horizontal="left"/>
    </xf>
    <xf numFmtId="164" fontId="2" fillId="3" borderId="11" xfId="0" applyNumberFormat="1" applyFont="1" applyFill="1" applyBorder="1" applyAlignment="1">
      <alignment horizontal="left"/>
    </xf>
    <xf numFmtId="164" fontId="2" fillId="3" borderId="22" xfId="0" applyNumberFormat="1" applyFont="1" applyFill="1" applyBorder="1" applyAlignment="1">
      <alignment horizontal="left"/>
    </xf>
    <xf numFmtId="0" fontId="0" fillId="3" borderId="10" xfId="0" applyFill="1" applyBorder="1" applyAlignment="1">
      <alignment horizontal="left"/>
    </xf>
    <xf numFmtId="0" fontId="0" fillId="3" borderId="11" xfId="0" applyFill="1" applyBorder="1" applyAlignment="1">
      <alignment horizontal="left"/>
    </xf>
    <xf numFmtId="0" fontId="0" fillId="2" borderId="5" xfId="0" applyFill="1" applyBorder="1" applyAlignment="1">
      <alignment horizontal="center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164" fontId="10" fillId="0" borderId="8" xfId="0" applyNumberFormat="1" applyFont="1" applyBorder="1" applyAlignment="1">
      <alignment horizontal="center" vertical="center"/>
    </xf>
    <xf numFmtId="0" fontId="2" fillId="2" borderId="41" xfId="0" applyFont="1" applyFill="1" applyBorder="1" applyAlignment="1">
      <alignment horizontal="left"/>
    </xf>
    <xf numFmtId="0" fontId="2" fillId="2" borderId="42" xfId="0" applyFont="1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0" borderId="6" xfId="0" quotePrefix="1" applyBorder="1" applyAlignment="1">
      <alignment horizontal="left"/>
    </xf>
    <xf numFmtId="0" fontId="0" fillId="0" borderId="7" xfId="0" quotePrefix="1" applyBorder="1" applyAlignment="1">
      <alignment horizontal="left"/>
    </xf>
    <xf numFmtId="0" fontId="0" fillId="0" borderId="0" xfId="0" quotePrefix="1" applyAlignment="1">
      <alignment horizontal="left"/>
    </xf>
    <xf numFmtId="0" fontId="0" fillId="0" borderId="17" xfId="0" quotePrefix="1" applyBorder="1" applyAlignment="1">
      <alignment horizontal="left"/>
    </xf>
    <xf numFmtId="0" fontId="0" fillId="0" borderId="11" xfId="0" quotePrefix="1" applyBorder="1" applyAlignment="1">
      <alignment horizontal="left"/>
    </xf>
    <xf numFmtId="0" fontId="0" fillId="0" borderId="22" xfId="0" quotePrefix="1" applyBorder="1" applyAlignment="1">
      <alignment horizontal="left"/>
    </xf>
    <xf numFmtId="0" fontId="0" fillId="0" borderId="0" xfId="0" applyAlignment="1">
      <alignment horizontal="left"/>
    </xf>
    <xf numFmtId="0" fontId="0" fillId="0" borderId="17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22" xfId="0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70" xfId="0" applyFont="1" applyBorder="1" applyAlignment="1">
      <alignment horizontal="left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8" xfId="0" applyBorder="1" applyAlignment="1">
      <alignment horizontal="left"/>
    </xf>
    <xf numFmtId="0" fontId="0" fillId="0" borderId="71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164" fontId="0" fillId="3" borderId="32" xfId="0" applyNumberFormat="1" applyFill="1" applyBorder="1" applyAlignment="1">
      <alignment horizontal="center"/>
    </xf>
    <xf numFmtId="164" fontId="0" fillId="3" borderId="34" xfId="0" applyNumberFormat="1" applyFill="1" applyBorder="1" applyAlignment="1">
      <alignment horizontal="center"/>
    </xf>
    <xf numFmtId="0" fontId="0" fillId="2" borderId="10" xfId="0" applyFill="1" applyBorder="1" applyAlignment="1">
      <alignment horizontal="left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164" fontId="4" fillId="3" borderId="30" xfId="0" applyNumberFormat="1" applyFont="1" applyFill="1" applyBorder="1" applyAlignment="1">
      <alignment horizontal="center"/>
    </xf>
    <xf numFmtId="0" fontId="4" fillId="3" borderId="3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0" fillId="2" borderId="5" xfId="0" applyFill="1" applyBorder="1" applyAlignment="1">
      <alignment horizontal="left"/>
    </xf>
    <xf numFmtId="167" fontId="0" fillId="3" borderId="12" xfId="0" applyNumberForma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2" borderId="8" xfId="0" applyFill="1" applyBorder="1" applyAlignment="1">
      <alignment horizontal="left"/>
    </xf>
    <xf numFmtId="0" fontId="0" fillId="2" borderId="24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164" fontId="0" fillId="3" borderId="33" xfId="0" applyNumberFormat="1" applyFill="1" applyBorder="1" applyAlignment="1">
      <alignment horizontal="center"/>
    </xf>
    <xf numFmtId="164" fontId="0" fillId="3" borderId="30" xfId="0" applyNumberFormat="1" applyFill="1" applyBorder="1" applyAlignment="1">
      <alignment horizontal="center"/>
    </xf>
    <xf numFmtId="164" fontId="0" fillId="3" borderId="25" xfId="0" applyNumberFormat="1" applyFill="1" applyBorder="1" applyAlignment="1">
      <alignment horizontal="center"/>
    </xf>
    <xf numFmtId="164" fontId="0" fillId="3" borderId="31" xfId="0" applyNumberFormat="1" applyFill="1" applyBorder="1" applyAlignment="1">
      <alignment horizontal="center"/>
    </xf>
    <xf numFmtId="167" fontId="0" fillId="3" borderId="1" xfId="2" applyNumberFormat="1" applyFont="1" applyFill="1" applyBorder="1" applyAlignment="1">
      <alignment horizontal="center"/>
    </xf>
    <xf numFmtId="166" fontId="0" fillId="3" borderId="34" xfId="1" applyNumberFormat="1" applyFont="1" applyFill="1" applyBorder="1" applyAlignment="1">
      <alignment horizontal="center"/>
    </xf>
    <xf numFmtId="166" fontId="0" fillId="3" borderId="9" xfId="1" applyNumberFormat="1" applyFont="1" applyFill="1" applyBorder="1" applyAlignment="1">
      <alignment horizontal="center"/>
    </xf>
    <xf numFmtId="166" fontId="0" fillId="3" borderId="1" xfId="1" applyNumberFormat="1" applyFont="1" applyFill="1" applyBorder="1" applyAlignment="1">
      <alignment horizontal="center"/>
    </xf>
    <xf numFmtId="167" fontId="0" fillId="3" borderId="54" xfId="0" applyNumberFormat="1" applyFill="1" applyBorder="1" applyAlignment="1">
      <alignment horizontal="center"/>
    </xf>
    <xf numFmtId="9" fontId="0" fillId="3" borderId="1" xfId="1" applyFont="1" applyFill="1" applyBorder="1" applyAlignment="1">
      <alignment horizontal="center"/>
    </xf>
    <xf numFmtId="9" fontId="0" fillId="3" borderId="9" xfId="1" applyFon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3" borderId="9" xfId="0" applyNumberFormat="1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165" fontId="9" fillId="3" borderId="20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165" fontId="9" fillId="3" borderId="12" xfId="0" applyNumberFormat="1" applyFont="1" applyFill="1" applyBorder="1" applyAlignment="1">
      <alignment horizontal="center" vertical="center"/>
    </xf>
    <xf numFmtId="165" fontId="9" fillId="3" borderId="21" xfId="0" applyNumberFormat="1" applyFont="1" applyFill="1" applyBorder="1" applyAlignment="1">
      <alignment horizontal="center" vertical="center"/>
    </xf>
    <xf numFmtId="165" fontId="9" fillId="3" borderId="9" xfId="0" applyNumberFormat="1" applyFont="1" applyFill="1" applyBorder="1" applyAlignment="1">
      <alignment horizontal="center" vertical="center"/>
    </xf>
    <xf numFmtId="165" fontId="9" fillId="3" borderId="13" xfId="0" applyNumberFormat="1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9" fontId="7" fillId="3" borderId="15" xfId="1" applyFont="1" applyFill="1" applyBorder="1" applyAlignment="1">
      <alignment horizontal="center" vertical="center"/>
    </xf>
    <xf numFmtId="9" fontId="7" fillId="3" borderId="1" xfId="1" applyFont="1" applyFill="1" applyBorder="1" applyAlignment="1">
      <alignment horizontal="center" vertical="center"/>
    </xf>
    <xf numFmtId="9" fontId="7" fillId="3" borderId="16" xfId="1" applyFont="1" applyFill="1" applyBorder="1" applyAlignment="1">
      <alignment horizontal="center" vertical="center"/>
    </xf>
    <xf numFmtId="9" fontId="7" fillId="3" borderId="12" xfId="1" applyFont="1" applyFill="1" applyBorder="1" applyAlignment="1">
      <alignment horizontal="center" vertical="center"/>
    </xf>
    <xf numFmtId="0" fontId="0" fillId="3" borderId="31" xfId="0" applyFill="1" applyBorder="1" applyAlignment="1">
      <alignment horizontal="center"/>
    </xf>
    <xf numFmtId="0" fontId="0" fillId="2" borderId="36" xfId="0" applyFill="1" applyBorder="1" applyAlignment="1">
      <alignment horizontal="left"/>
    </xf>
    <xf numFmtId="0" fontId="0" fillId="0" borderId="1" xfId="0" applyBorder="1" applyAlignment="1">
      <alignment horizontal="center"/>
    </xf>
    <xf numFmtId="167" fontId="0" fillId="3" borderId="48" xfId="0" applyNumberFormat="1" applyFill="1" applyBorder="1" applyAlignment="1">
      <alignment horizontal="center"/>
    </xf>
    <xf numFmtId="167" fontId="0" fillId="3" borderId="49" xfId="0" applyNumberForma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5" xfId="0" applyBorder="1" applyAlignment="1">
      <alignment horizontal="center"/>
    </xf>
    <xf numFmtId="3" fontId="0" fillId="0" borderId="20" xfId="0" applyNumberFormat="1" applyBorder="1" applyAlignment="1">
      <alignment horizontal="center"/>
    </xf>
    <xf numFmtId="3" fontId="0" fillId="0" borderId="2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3" fontId="0" fillId="3" borderId="12" xfId="0" applyNumberFormat="1" applyFill="1" applyBorder="1" applyAlignment="1">
      <alignment horizontal="center"/>
    </xf>
    <xf numFmtId="3" fontId="0" fillId="3" borderId="13" xfId="0" applyNumberFormat="1" applyFill="1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48" xfId="0" applyBorder="1" applyAlignment="1">
      <alignment horizontal="left"/>
    </xf>
    <xf numFmtId="0" fontId="0" fillId="0" borderId="21" xfId="0" applyBorder="1" applyAlignment="1">
      <alignment horizontal="left"/>
    </xf>
    <xf numFmtId="166" fontId="0" fillId="3" borderId="20" xfId="1" applyNumberFormat="1" applyFont="1" applyFill="1" applyBorder="1" applyAlignment="1">
      <alignment horizontal="center"/>
    </xf>
    <xf numFmtId="166" fontId="0" fillId="3" borderId="21" xfId="1" applyNumberFormat="1" applyFont="1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9" fontId="0" fillId="3" borderId="32" xfId="1" applyFont="1" applyFill="1" applyBorder="1" applyAlignment="1">
      <alignment horizontal="center"/>
    </xf>
    <xf numFmtId="9" fontId="0" fillId="3" borderId="46" xfId="1" applyFont="1" applyFill="1" applyBorder="1" applyAlignment="1">
      <alignment horizontal="center"/>
    </xf>
    <xf numFmtId="0" fontId="0" fillId="3" borderId="30" xfId="0" applyFill="1" applyBorder="1" applyAlignment="1">
      <alignment horizontal="center"/>
    </xf>
    <xf numFmtId="0" fontId="0" fillId="3" borderId="47" xfId="0" applyFill="1" applyBorder="1" applyAlignment="1">
      <alignment horizontal="center"/>
    </xf>
    <xf numFmtId="9" fontId="4" fillId="3" borderId="30" xfId="1" applyFont="1" applyFill="1" applyBorder="1" applyAlignment="1">
      <alignment horizontal="center"/>
    </xf>
    <xf numFmtId="9" fontId="4" fillId="3" borderId="47" xfId="1" applyFont="1" applyFill="1" applyBorder="1" applyAlignment="1">
      <alignment horizontal="center"/>
    </xf>
    <xf numFmtId="0" fontId="0" fillId="0" borderId="69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3" borderId="30" xfId="0" applyFill="1" applyBorder="1" applyAlignment="1">
      <alignment horizontal="right"/>
    </xf>
    <xf numFmtId="0" fontId="0" fillId="3" borderId="25" xfId="0" applyFill="1" applyBorder="1" applyAlignment="1">
      <alignment horizontal="right"/>
    </xf>
    <xf numFmtId="0" fontId="0" fillId="3" borderId="31" xfId="0" applyFill="1" applyBorder="1" applyAlignment="1">
      <alignment horizontal="right"/>
    </xf>
    <xf numFmtId="0" fontId="0" fillId="2" borderId="44" xfId="0" applyFill="1" applyBorder="1" applyAlignment="1">
      <alignment horizontal="left"/>
    </xf>
    <xf numFmtId="0" fontId="0" fillId="2" borderId="45" xfId="0" applyFill="1" applyBorder="1" applyAlignment="1">
      <alignment horizontal="center"/>
    </xf>
    <xf numFmtId="167" fontId="0" fillId="3" borderId="12" xfId="2" applyNumberFormat="1" applyFont="1" applyFill="1" applyBorder="1" applyAlignment="1">
      <alignment horizontal="center"/>
    </xf>
    <xf numFmtId="167" fontId="0" fillId="3" borderId="13" xfId="2" applyNumberFormat="1" applyFont="1" applyFill="1" applyBorder="1" applyAlignment="1">
      <alignment horizontal="center"/>
    </xf>
    <xf numFmtId="0" fontId="0" fillId="0" borderId="5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2" borderId="42" xfId="0" applyFill="1" applyBorder="1" applyAlignment="1">
      <alignment horizontal="right"/>
    </xf>
    <xf numFmtId="0" fontId="0" fillId="2" borderId="5" xfId="0" applyFill="1" applyBorder="1" applyAlignment="1">
      <alignment horizontal="right"/>
    </xf>
    <xf numFmtId="0" fontId="0" fillId="2" borderId="6" xfId="0" applyFill="1" applyBorder="1" applyAlignment="1">
      <alignment horizontal="right"/>
    </xf>
    <xf numFmtId="0" fontId="0" fillId="2" borderId="20" xfId="0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4" fillId="0" borderId="0" xfId="0" applyFont="1" applyAlignment="1">
      <alignment horizontal="center"/>
    </xf>
    <xf numFmtId="0" fontId="0" fillId="2" borderId="0" xfId="0" applyFill="1" applyAlignment="1">
      <alignment horizontal="right"/>
    </xf>
    <xf numFmtId="0" fontId="0" fillId="2" borderId="11" xfId="0" applyFill="1" applyBorder="1" applyAlignment="1">
      <alignment horizontal="right"/>
    </xf>
    <xf numFmtId="0" fontId="0" fillId="2" borderId="8" xfId="0" applyFill="1" applyBorder="1" applyAlignment="1">
      <alignment horizontal="center"/>
    </xf>
    <xf numFmtId="0" fontId="0" fillId="2" borderId="0" xfId="0" applyFill="1" applyAlignment="1">
      <alignment horizontal="center"/>
    </xf>
    <xf numFmtId="3" fontId="0" fillId="0" borderId="0" xfId="2" applyNumberFormat="1" applyFont="1" applyBorder="1" applyAlignment="1">
      <alignment horizontal="center"/>
    </xf>
    <xf numFmtId="3" fontId="0" fillId="0" borderId="11" xfId="2" applyNumberFormat="1" applyFont="1" applyBorder="1" applyAlignment="1">
      <alignment horizontal="center"/>
    </xf>
    <xf numFmtId="0" fontId="0" fillId="0" borderId="34" xfId="0" applyBorder="1"/>
    <xf numFmtId="0" fontId="0" fillId="3" borderId="1" xfId="0" applyFill="1" applyBorder="1" applyAlignment="1">
      <alignment horizontal="left"/>
    </xf>
    <xf numFmtId="0" fontId="0" fillId="0" borderId="5" xfId="0" applyBorder="1" applyAlignment="1">
      <alignment horizontal="left"/>
    </xf>
    <xf numFmtId="0" fontId="4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6" fillId="2" borderId="2" xfId="0" applyFont="1" applyFill="1" applyBorder="1" applyAlignment="1">
      <alignment horizontal="left"/>
    </xf>
    <xf numFmtId="0" fontId="6" fillId="2" borderId="0" xfId="0" applyFont="1" applyFill="1" applyAlignment="1">
      <alignment horizontal="left"/>
    </xf>
    <xf numFmtId="0" fontId="7" fillId="0" borderId="1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6" fillId="2" borderId="11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6" fillId="0" borderId="2" xfId="0" applyFont="1" applyBorder="1" applyAlignment="1">
      <alignment horizontal="left"/>
    </xf>
    <xf numFmtId="0" fontId="0" fillId="0" borderId="2" xfId="0" applyBorder="1" applyAlignment="1">
      <alignment horizontal="center"/>
    </xf>
    <xf numFmtId="0" fontId="6" fillId="0" borderId="3" xfId="0" applyFont="1" applyBorder="1" applyAlignment="1">
      <alignment horizontal="left"/>
    </xf>
    <xf numFmtId="0" fontId="8" fillId="2" borderId="18" xfId="0" applyFont="1" applyFill="1" applyBorder="1" applyAlignment="1">
      <alignment horizontal="center" vertical="center" textRotation="90"/>
    </xf>
    <xf numFmtId="0" fontId="8" fillId="2" borderId="24" xfId="0" applyFont="1" applyFill="1" applyBorder="1" applyAlignment="1">
      <alignment horizontal="center" vertical="center" textRotation="90"/>
    </xf>
    <xf numFmtId="0" fontId="6" fillId="2" borderId="3" xfId="0" applyFont="1" applyFill="1" applyBorder="1" applyAlignment="1">
      <alignment horizontal="left"/>
    </xf>
    <xf numFmtId="0" fontId="0" fillId="0" borderId="0" xfId="0" applyAlignment="1">
      <alignment horizontal="center" wrapText="1"/>
    </xf>
    <xf numFmtId="0" fontId="0" fillId="0" borderId="17" xfId="0" applyBorder="1" applyAlignment="1">
      <alignment horizontal="center" wrapText="1"/>
    </xf>
    <xf numFmtId="0" fontId="0" fillId="2" borderId="17" xfId="0" applyFill="1" applyBorder="1" applyAlignment="1">
      <alignment horizontal="center"/>
    </xf>
    <xf numFmtId="164" fontId="0" fillId="3" borderId="0" xfId="1" applyNumberFormat="1" applyFont="1" applyFill="1" applyBorder="1" applyAlignment="1">
      <alignment horizontal="center"/>
    </xf>
    <xf numFmtId="164" fontId="0" fillId="3" borderId="17" xfId="1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3" borderId="11" xfId="0" applyFill="1" applyBorder="1" applyAlignment="1">
      <alignment horizontal="center"/>
    </xf>
    <xf numFmtId="164" fontId="9" fillId="0" borderId="7" xfId="1" applyNumberFormat="1" applyFont="1" applyBorder="1" applyAlignment="1">
      <alignment horizontal="center" vertical="center" textRotation="90"/>
    </xf>
    <xf numFmtId="164" fontId="9" fillId="0" borderId="17" xfId="1" applyNumberFormat="1" applyFont="1" applyBorder="1" applyAlignment="1">
      <alignment horizontal="center" vertical="center" textRotation="90"/>
    </xf>
    <xf numFmtId="164" fontId="9" fillId="0" borderId="22" xfId="1" applyNumberFormat="1" applyFont="1" applyBorder="1" applyAlignment="1">
      <alignment horizontal="center" vertical="center" textRotation="90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AFAD1-7B19-47D8-AE9C-64A60BDFFCED}">
  <sheetPr>
    <pageSetUpPr fitToPage="1"/>
  </sheetPr>
  <dimension ref="A1:V43"/>
  <sheetViews>
    <sheetView workbookViewId="0">
      <selection activeCell="P9" sqref="P9:R11"/>
    </sheetView>
  </sheetViews>
  <sheetFormatPr defaultColWidth="5.5703125" defaultRowHeight="15" x14ac:dyDescent="0.25"/>
  <cols>
    <col min="1" max="18" width="7.7109375" customWidth="1"/>
    <col min="20" max="20" width="5.7109375" customWidth="1"/>
    <col min="22" max="22" width="5.7109375" customWidth="1"/>
  </cols>
  <sheetData>
    <row r="1" spans="1:20" ht="63" thickBot="1" x14ac:dyDescent="1">
      <c r="A1" s="335" t="s">
        <v>0</v>
      </c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  <c r="P1" s="336"/>
      <c r="Q1" s="336"/>
      <c r="R1" s="337"/>
    </row>
    <row r="2" spans="1:20" x14ac:dyDescent="0.25">
      <c r="A2" s="329" t="s">
        <v>1</v>
      </c>
      <c r="B2" s="298"/>
      <c r="C2" s="298"/>
      <c r="D2" s="381"/>
      <c r="E2" s="381"/>
      <c r="F2" s="381"/>
      <c r="G2" s="381"/>
      <c r="H2" s="381"/>
      <c r="I2" s="381"/>
      <c r="J2" s="381"/>
      <c r="K2" s="381"/>
      <c r="L2" s="382"/>
      <c r="M2" s="383"/>
      <c r="N2" s="329" t="s">
        <v>4</v>
      </c>
      <c r="O2" s="298"/>
      <c r="P2" s="298"/>
      <c r="Q2" s="375">
        <v>4</v>
      </c>
      <c r="R2" s="376"/>
    </row>
    <row r="3" spans="1:20" x14ac:dyDescent="0.25">
      <c r="A3" s="332" t="s">
        <v>2</v>
      </c>
      <c r="B3" s="269"/>
      <c r="C3" s="269"/>
      <c r="D3" s="242"/>
      <c r="E3" s="242"/>
      <c r="F3" s="242"/>
      <c r="G3" s="242"/>
      <c r="H3" s="242"/>
      <c r="I3" s="242"/>
      <c r="J3" s="242"/>
      <c r="K3" s="242"/>
      <c r="L3" s="214"/>
      <c r="M3" s="244"/>
      <c r="N3" s="332" t="s">
        <v>5</v>
      </c>
      <c r="O3" s="269"/>
      <c r="P3" s="269"/>
      <c r="Q3" s="377">
        <v>0</v>
      </c>
      <c r="R3" s="378"/>
    </row>
    <row r="4" spans="1:20" ht="15.75" customHeight="1" thickBot="1" x14ac:dyDescent="0.3">
      <c r="A4" s="321" t="s">
        <v>3</v>
      </c>
      <c r="B4" s="277"/>
      <c r="C4" s="277"/>
      <c r="D4" s="239"/>
      <c r="E4" s="239"/>
      <c r="F4" s="239"/>
      <c r="G4" s="239"/>
      <c r="H4" s="239"/>
      <c r="I4" s="239"/>
      <c r="J4" s="239"/>
      <c r="K4" s="239"/>
      <c r="L4" s="207"/>
      <c r="M4" s="240"/>
      <c r="N4" s="321" t="s">
        <v>6</v>
      </c>
      <c r="O4" s="277"/>
      <c r="P4" s="277"/>
      <c r="Q4" s="379">
        <f>Q2*10000</f>
        <v>40000</v>
      </c>
      <c r="R4" s="380"/>
    </row>
    <row r="5" spans="1:20" ht="15.75" customHeight="1" x14ac:dyDescent="0.25">
      <c r="A5" s="332" t="s">
        <v>7</v>
      </c>
      <c r="B5" s="269"/>
      <c r="C5" s="372"/>
      <c r="D5" s="373"/>
      <c r="E5" s="374"/>
      <c r="F5" s="269" t="s">
        <v>458</v>
      </c>
      <c r="G5" s="269"/>
      <c r="H5" s="369"/>
      <c r="I5" s="369"/>
      <c r="J5" s="370"/>
      <c r="K5" s="329" t="s">
        <v>612</v>
      </c>
      <c r="L5" s="298"/>
      <c r="M5" s="298"/>
      <c r="N5" s="298"/>
      <c r="O5" s="367" t="e">
        <f>ROUND(Q5*(VLOOKUP(Race,Table_Race,IF(H5="Male",24,25),FALSE)),1)&amp;" pounds"</f>
        <v>#N/A</v>
      </c>
      <c r="P5" s="368"/>
      <c r="Q5" s="384">
        <f>MAX(0.15+2*ST/100,0)</f>
        <v>0.31</v>
      </c>
      <c r="R5" s="385"/>
    </row>
    <row r="6" spans="1:20" x14ac:dyDescent="0.25">
      <c r="A6" s="332" t="s">
        <v>8</v>
      </c>
      <c r="B6" s="269"/>
      <c r="C6" s="366"/>
      <c r="D6" s="366"/>
      <c r="E6" s="366"/>
      <c r="F6" s="269" t="s">
        <v>11</v>
      </c>
      <c r="G6" s="269"/>
      <c r="H6" s="366"/>
      <c r="I6" s="366"/>
      <c r="J6" s="371"/>
      <c r="K6" s="332" t="s">
        <v>450</v>
      </c>
      <c r="L6" s="269"/>
      <c r="M6" s="269"/>
      <c r="N6" s="269"/>
      <c r="O6" s="386" t="e">
        <f>TEXT(Trappings!P60,"0.0")&amp;" pounds"</f>
        <v>#N/A</v>
      </c>
      <c r="P6" s="326"/>
      <c r="Q6" s="343" t="e">
        <f>MAX(Trappings!P60/(VLOOKUP(Race,Table_Race,IF(H5="Male",24,25),FALSE)-Q5),0)</f>
        <v>#N/A</v>
      </c>
      <c r="R6" s="344"/>
      <c r="T6" s="160"/>
    </row>
    <row r="7" spans="1:20" x14ac:dyDescent="0.25">
      <c r="A7" s="332" t="s">
        <v>9</v>
      </c>
      <c r="B7" s="269"/>
      <c r="C7" s="366"/>
      <c r="D7" s="366"/>
      <c r="E7" s="366"/>
      <c r="F7" s="269" t="s">
        <v>32</v>
      </c>
      <c r="G7" s="269"/>
      <c r="H7" s="326" t="e">
        <f>VLOOKUP(Race,Table_Race,20,FALSE)</f>
        <v>#N/A</v>
      </c>
      <c r="I7" s="326"/>
      <c r="J7" s="275"/>
      <c r="K7" s="332" t="s">
        <v>14</v>
      </c>
      <c r="L7" s="269"/>
      <c r="M7" s="269"/>
      <c r="N7" s="269"/>
      <c r="O7" s="386" t="e">
        <f>TEXT(Trappings!P60-(Q5*(VLOOKUP(Race,Table_Race,IF(H5="Male",24,25),FALSE))),"0.0")&amp;" pounds"</f>
        <v>#N/A</v>
      </c>
      <c r="P7" s="326"/>
      <c r="Q7" s="345" t="e">
        <f>Q6-Q5</f>
        <v>#N/A</v>
      </c>
      <c r="R7" s="344"/>
    </row>
    <row r="8" spans="1:20" ht="15.75" thickBot="1" x14ac:dyDescent="0.3">
      <c r="A8" s="332" t="s">
        <v>10</v>
      </c>
      <c r="B8" s="269"/>
      <c r="C8" s="366"/>
      <c r="D8" s="366"/>
      <c r="E8" s="366"/>
      <c r="F8" s="269" t="s">
        <v>54</v>
      </c>
      <c r="G8" s="269"/>
      <c r="H8" s="326" t="e">
        <f>VLOOKUP(Race,Table_Race,IF(H5="Male",22,23),FALSE)+Worksheet!D4-IF(VLOOKUP(Race,Table_Race,20,FALSE)="S","5.5",IF(VLOOKUP(Race,Table_Race,20,FALSE)="B","16.5","11"))</f>
        <v>#N/A</v>
      </c>
      <c r="I8" s="326"/>
      <c r="J8" s="275"/>
      <c r="K8" s="321" t="s">
        <v>613</v>
      </c>
      <c r="L8" s="277"/>
      <c r="M8" s="339" t="e">
        <f>(MIN(K30+MAX(Skills!AI12,0),0))</f>
        <v>#N/A</v>
      </c>
      <c r="N8" s="364"/>
      <c r="O8" s="277" t="s">
        <v>15</v>
      </c>
      <c r="P8" s="365"/>
      <c r="Q8" s="331" t="e">
        <f>IF(Q7&lt;0.15,"Dash",IF(Q7&lt;0.3,"Sprint",IF(Q7&lt;0.45,"Run",IF(Q7&lt;0.6,"Jog",IF(Q7&lt;0.9,"Walk","Creep")))))</f>
        <v>#N/A</v>
      </c>
      <c r="R8" s="351"/>
    </row>
    <row r="9" spans="1:20" x14ac:dyDescent="0.25">
      <c r="A9" s="332" t="s">
        <v>82</v>
      </c>
      <c r="B9" s="269"/>
      <c r="C9" s="347">
        <f>IF(Race="",0,VLOOKUP(Race,Table_Race,19,FALSE))</f>
        <v>0</v>
      </c>
      <c r="D9" s="347"/>
      <c r="E9" s="347"/>
      <c r="F9" s="269" t="s">
        <v>53</v>
      </c>
      <c r="G9" s="269"/>
      <c r="H9" s="349" t="e">
        <f>VLOOKUP(Race,Table_Race,21,FALSE)+((H8-IF(H5="Male",VLOOKUP(Race,Table_Race,22,FALSE),VLOOKUP(Race,Table_Race,23,FALSE)))/6)</f>
        <v>#N/A</v>
      </c>
      <c r="I9" s="349"/>
      <c r="J9" s="350"/>
      <c r="K9" s="358" t="s">
        <v>614</v>
      </c>
      <c r="L9" s="359"/>
      <c r="M9" s="352" t="e">
        <f>TEXT(0.05*HP/Recovery,"+0.0")&amp;" HP/hr"</f>
        <v>#N/A</v>
      </c>
      <c r="N9" s="352"/>
      <c r="O9" s="352"/>
      <c r="P9" s="352" t="str">
        <f ca="1">TEXT(0.05*Power,"+0.0")&amp;" PP/hr*"</f>
        <v>+0.0 PP/hr*</v>
      </c>
      <c r="Q9" s="352"/>
      <c r="R9" s="355"/>
    </row>
    <row r="10" spans="1:20" x14ac:dyDescent="0.25">
      <c r="A10" s="332" t="s">
        <v>83</v>
      </c>
      <c r="B10" s="269"/>
      <c r="C10" s="319">
        <f>IF(Race="",0,VLOOKUP(Race,Table_Race,2,FALSE))</f>
        <v>0</v>
      </c>
      <c r="D10" s="338"/>
      <c r="E10" s="320"/>
      <c r="F10" s="269" t="s">
        <v>13</v>
      </c>
      <c r="G10" s="269"/>
      <c r="H10" s="347">
        <f>Worksheet!D14</f>
        <v>0</v>
      </c>
      <c r="I10" s="347"/>
      <c r="J10" s="348"/>
      <c r="K10" s="360">
        <f>IF(Race="",1,1/(VLOOKUP(Race,Table_Race,19,FALSE)))</f>
        <v>1</v>
      </c>
      <c r="L10" s="361"/>
      <c r="M10" s="353"/>
      <c r="N10" s="353"/>
      <c r="O10" s="353"/>
      <c r="P10" s="353"/>
      <c r="Q10" s="353"/>
      <c r="R10" s="356"/>
    </row>
    <row r="11" spans="1:20" ht="15.75" thickBot="1" x14ac:dyDescent="0.3">
      <c r="A11" s="321" t="s">
        <v>84</v>
      </c>
      <c r="B11" s="277"/>
      <c r="C11" s="339">
        <f>IF(Race="",0,VLOOKUP(Race,Table_Race,17,FALSE))</f>
        <v>0</v>
      </c>
      <c r="D11" s="340"/>
      <c r="E11" s="341"/>
      <c r="F11" s="277" t="s">
        <v>55</v>
      </c>
      <c r="G11" s="277"/>
      <c r="H11" s="330" t="e">
        <f>((VLOOKUP(Race,Table_Race,IF(H5="Male",24,25),FALSE))+Worksheet!D6)*(1+H10)</f>
        <v>#N/A</v>
      </c>
      <c r="I11" s="330"/>
      <c r="J11" s="346"/>
      <c r="K11" s="362"/>
      <c r="L11" s="363"/>
      <c r="M11" s="354"/>
      <c r="N11" s="354"/>
      <c r="O11" s="354"/>
      <c r="P11" s="354"/>
      <c r="Q11" s="354"/>
      <c r="R11" s="357"/>
    </row>
    <row r="12" spans="1:20" x14ac:dyDescent="0.25">
      <c r="A12" s="329" t="s">
        <v>16</v>
      </c>
      <c r="B12" s="298"/>
      <c r="C12" s="298"/>
      <c r="D12" s="7" t="s">
        <v>27</v>
      </c>
      <c r="E12" s="7" t="s">
        <v>28</v>
      </c>
      <c r="F12" s="20" t="s">
        <v>29</v>
      </c>
      <c r="G12" s="7" t="s">
        <v>7</v>
      </c>
      <c r="H12" s="7" t="s">
        <v>31</v>
      </c>
      <c r="I12" s="10" t="s">
        <v>30</v>
      </c>
      <c r="J12" s="13" t="s">
        <v>34</v>
      </c>
      <c r="K12" s="271" t="s">
        <v>41</v>
      </c>
      <c r="L12" s="271"/>
      <c r="M12" s="271" t="s">
        <v>42</v>
      </c>
      <c r="N12" s="271"/>
      <c r="O12" s="271" t="s">
        <v>43</v>
      </c>
      <c r="P12" s="271"/>
      <c r="Q12" s="271" t="s">
        <v>44</v>
      </c>
      <c r="R12" s="273"/>
    </row>
    <row r="13" spans="1:20" x14ac:dyDescent="0.25">
      <c r="A13" s="332" t="s">
        <v>17</v>
      </c>
      <c r="B13" s="269"/>
      <c r="C13" s="269"/>
      <c r="D13" s="3">
        <v>50</v>
      </c>
      <c r="E13" s="3">
        <v>50</v>
      </c>
      <c r="F13" s="56">
        <f t="shared" ref="F13:F22" si="0">VLOOKUP(E13,Stat_Bonus,2,FALSE)</f>
        <v>0</v>
      </c>
      <c r="G13" s="5">
        <f>IF(Race="",0,VLOOKUP(Race,Table_Race,3,FALSE))</f>
        <v>0</v>
      </c>
      <c r="H13" s="4"/>
      <c r="I13" s="57">
        <f t="shared" ref="I13:I22" si="1">SUM(F13:H13)</f>
        <v>0</v>
      </c>
      <c r="J13" s="14" t="s">
        <v>35</v>
      </c>
      <c r="K13" s="245" t="e">
        <f>BMR/2</f>
        <v>#N/A</v>
      </c>
      <c r="L13" s="245"/>
      <c r="M13" s="245" t="e">
        <f>BMR/8</f>
        <v>#N/A</v>
      </c>
      <c r="N13" s="245"/>
      <c r="O13" s="274" t="s">
        <v>47</v>
      </c>
      <c r="P13" s="326"/>
      <c r="Q13" s="274" t="s">
        <v>47</v>
      </c>
      <c r="R13" s="275"/>
    </row>
    <row r="14" spans="1:20" x14ac:dyDescent="0.25">
      <c r="A14" s="332" t="s">
        <v>18</v>
      </c>
      <c r="B14" s="269"/>
      <c r="C14" s="269"/>
      <c r="D14" s="3">
        <v>50</v>
      </c>
      <c r="E14" s="3">
        <v>50</v>
      </c>
      <c r="F14" s="56">
        <f t="shared" si="0"/>
        <v>0</v>
      </c>
      <c r="G14" s="5">
        <f>IF(Race="",0,VLOOKUP(Race,Table_Race,4,FALSE))</f>
        <v>0</v>
      </c>
      <c r="H14" s="4"/>
      <c r="I14" s="57">
        <f t="shared" si="1"/>
        <v>0</v>
      </c>
      <c r="J14" s="14" t="s">
        <v>36</v>
      </c>
      <c r="K14" s="245" t="e">
        <f>BMR</f>
        <v>#N/A</v>
      </c>
      <c r="L14" s="245"/>
      <c r="M14" s="245" t="e">
        <f>BMR/4</f>
        <v>#N/A</v>
      </c>
      <c r="N14" s="245"/>
      <c r="O14" s="274" t="s">
        <v>48</v>
      </c>
      <c r="P14" s="326"/>
      <c r="Q14" s="342" t="e">
        <f>(0.9+Q$5)*(VLOOKUP(Race,Table_Race,IF(H5="Male",24,25),FALSE))</f>
        <v>#N/A</v>
      </c>
      <c r="R14" s="250"/>
    </row>
    <row r="15" spans="1:20" x14ac:dyDescent="0.25">
      <c r="A15" s="332" t="s">
        <v>19</v>
      </c>
      <c r="B15" s="269"/>
      <c r="C15" s="269"/>
      <c r="D15" s="3">
        <v>50</v>
      </c>
      <c r="E15" s="3">
        <v>50</v>
      </c>
      <c r="F15" s="56">
        <f t="shared" si="0"/>
        <v>0</v>
      </c>
      <c r="G15" s="5">
        <f>IF(Race="",0,VLOOKUP(Race,Table_Race,5,FALSE))</f>
        <v>0</v>
      </c>
      <c r="H15" s="4"/>
      <c r="I15" s="57">
        <f t="shared" si="1"/>
        <v>0</v>
      </c>
      <c r="J15" s="14" t="s">
        <v>37</v>
      </c>
      <c r="K15" s="245" t="e">
        <f>2*BMR</f>
        <v>#N/A</v>
      </c>
      <c r="L15" s="245"/>
      <c r="M15" s="245" t="e">
        <f>BMR/2</f>
        <v>#N/A</v>
      </c>
      <c r="N15" s="245"/>
      <c r="O15" s="274" t="s">
        <v>49</v>
      </c>
      <c r="P15" s="326"/>
      <c r="Q15" s="342" t="e">
        <f>(0.6+Q$5)*(VLOOKUP(Race,Table_Race,IF(H5="Male",24,25),FALSE))</f>
        <v>#N/A</v>
      </c>
      <c r="R15" s="250"/>
    </row>
    <row r="16" spans="1:20" x14ac:dyDescent="0.25">
      <c r="A16" s="332" t="s">
        <v>20</v>
      </c>
      <c r="B16" s="269"/>
      <c r="C16" s="269"/>
      <c r="D16" s="3">
        <v>50</v>
      </c>
      <c r="E16" s="3">
        <v>50</v>
      </c>
      <c r="F16" s="56">
        <f t="shared" si="0"/>
        <v>0</v>
      </c>
      <c r="G16" s="5">
        <f>IF(Race="",0,VLOOKUP(Race,Table_Race,6,FALSE))</f>
        <v>0</v>
      </c>
      <c r="H16" s="4"/>
      <c r="I16" s="57">
        <f t="shared" si="1"/>
        <v>0</v>
      </c>
      <c r="J16" s="14" t="s">
        <v>38</v>
      </c>
      <c r="K16" s="245" t="e">
        <f>3*BMR</f>
        <v>#N/A</v>
      </c>
      <c r="L16" s="245"/>
      <c r="M16" s="245" t="e">
        <f>BMR/4*3</f>
        <v>#N/A</v>
      </c>
      <c r="N16" s="245"/>
      <c r="O16" s="274" t="s">
        <v>50</v>
      </c>
      <c r="P16" s="326"/>
      <c r="Q16" s="342" t="e">
        <f>(0.45+Q$5)*(VLOOKUP(Race,Table_Race,IF(H5="Male",24,25),FALSE))</f>
        <v>#N/A</v>
      </c>
      <c r="R16" s="250"/>
    </row>
    <row r="17" spans="1:22" x14ac:dyDescent="0.25">
      <c r="A17" s="332" t="s">
        <v>21</v>
      </c>
      <c r="B17" s="269"/>
      <c r="C17" s="269"/>
      <c r="D17" s="3">
        <v>50</v>
      </c>
      <c r="E17" s="3">
        <v>50</v>
      </c>
      <c r="F17" s="56">
        <f t="shared" si="0"/>
        <v>0</v>
      </c>
      <c r="G17" s="5">
        <f>IF(Race="",0,VLOOKUP(Race,Table_Race,7,FALSE))</f>
        <v>0</v>
      </c>
      <c r="H17" s="4"/>
      <c r="I17" s="57">
        <f t="shared" si="1"/>
        <v>0</v>
      </c>
      <c r="J17" s="14" t="s">
        <v>39</v>
      </c>
      <c r="K17" s="245" t="e">
        <f>4*BMR</f>
        <v>#N/A</v>
      </c>
      <c r="L17" s="245"/>
      <c r="M17" s="245" t="e">
        <f>BMR</f>
        <v>#N/A</v>
      </c>
      <c r="N17" s="245"/>
      <c r="O17" s="326" t="s">
        <v>51</v>
      </c>
      <c r="P17" s="326"/>
      <c r="Q17" s="342" t="e">
        <f>(0.3+Q$5)*(VLOOKUP(Race,Table_Race,IF(H5="Male",24,25),FALSE))</f>
        <v>#N/A</v>
      </c>
      <c r="R17" s="250"/>
    </row>
    <row r="18" spans="1:22" ht="15.75" thickBot="1" x14ac:dyDescent="0.3">
      <c r="A18" s="332" t="s">
        <v>23</v>
      </c>
      <c r="B18" s="269"/>
      <c r="C18" s="269"/>
      <c r="D18" s="3">
        <v>50</v>
      </c>
      <c r="E18" s="3">
        <v>50</v>
      </c>
      <c r="F18" s="56">
        <f t="shared" si="0"/>
        <v>0</v>
      </c>
      <c r="G18" s="5">
        <f>IF(Race="",0,VLOOKUP(Race,Table_Race,8,FALSE))</f>
        <v>0</v>
      </c>
      <c r="H18" s="4"/>
      <c r="I18" s="57">
        <f t="shared" si="1"/>
        <v>0</v>
      </c>
      <c r="J18" s="15" t="s">
        <v>40</v>
      </c>
      <c r="K18" s="330" t="e">
        <f>5*BMR</f>
        <v>#N/A</v>
      </c>
      <c r="L18" s="330"/>
      <c r="M18" s="330" t="e">
        <f>BMR*1.25</f>
        <v>#N/A</v>
      </c>
      <c r="N18" s="330"/>
      <c r="O18" s="331" t="s">
        <v>52</v>
      </c>
      <c r="P18" s="331"/>
      <c r="Q18" s="401" t="e">
        <f>(0.15+Q$5)*(VLOOKUP(Race,Table_Race,IF(H5="Male",24,25),FALSE))</f>
        <v>#N/A</v>
      </c>
      <c r="R18" s="402"/>
    </row>
    <row r="19" spans="1:22" x14ac:dyDescent="0.25">
      <c r="A19" s="332" t="s">
        <v>22</v>
      </c>
      <c r="B19" s="269"/>
      <c r="C19" s="269"/>
      <c r="D19" s="3">
        <v>50</v>
      </c>
      <c r="E19" s="3">
        <v>50</v>
      </c>
      <c r="F19" s="56">
        <f t="shared" si="0"/>
        <v>0</v>
      </c>
      <c r="G19" s="5">
        <f>IF(Race="",0,VLOOKUP(Race,Table_Race,9,FALSE))</f>
        <v>0</v>
      </c>
      <c r="H19" s="4"/>
      <c r="I19" s="57">
        <f t="shared" si="1"/>
        <v>0</v>
      </c>
      <c r="J19" s="329" t="s">
        <v>68</v>
      </c>
      <c r="K19" s="298"/>
      <c r="L19" s="298"/>
      <c r="M19" s="7" t="s">
        <v>16</v>
      </c>
      <c r="N19" s="7" t="s">
        <v>29</v>
      </c>
      <c r="O19" s="7" t="s">
        <v>69</v>
      </c>
      <c r="P19" s="7" t="s">
        <v>7</v>
      </c>
      <c r="Q19" s="7" t="s">
        <v>31</v>
      </c>
      <c r="R19" s="10" t="s">
        <v>30</v>
      </c>
    </row>
    <row r="20" spans="1:22" x14ac:dyDescent="0.25">
      <c r="A20" s="332" t="s">
        <v>24</v>
      </c>
      <c r="B20" s="269"/>
      <c r="C20" s="269"/>
      <c r="D20" s="3">
        <v>50</v>
      </c>
      <c r="E20" s="3">
        <v>50</v>
      </c>
      <c r="F20" s="56">
        <f t="shared" si="0"/>
        <v>0</v>
      </c>
      <c r="G20" s="5">
        <f>IF(Race="",0,VLOOKUP(Race,Table_Race,10,FALSE))</f>
        <v>0</v>
      </c>
      <c r="H20" s="4"/>
      <c r="I20" s="57">
        <f t="shared" si="1"/>
        <v>0</v>
      </c>
      <c r="J20" s="332" t="s">
        <v>70</v>
      </c>
      <c r="K20" s="269"/>
      <c r="L20" s="269"/>
      <c r="M20" s="164" t="s">
        <v>75</v>
      </c>
      <c r="N20" s="5">
        <f>IN</f>
        <v>0</v>
      </c>
      <c r="O20" s="5">
        <f>Level*2</f>
        <v>8</v>
      </c>
      <c r="P20" s="5" t="e">
        <f>VLOOKUP(Race,Table_Race,13,FALSE)</f>
        <v>#N/A</v>
      </c>
      <c r="Q20" s="5">
        <f>IF(Realm="Channeling",10,IF(OR(Realm="Channeling/Essence",Realm="Channeling/Mentalism"),5,0))</f>
        <v>0</v>
      </c>
      <c r="R20" s="21" t="e">
        <f>SUM(N20:Q20)</f>
        <v>#N/A</v>
      </c>
    </row>
    <row r="21" spans="1:22" x14ac:dyDescent="0.25">
      <c r="A21" s="332" t="s">
        <v>25</v>
      </c>
      <c r="B21" s="269"/>
      <c r="C21" s="269"/>
      <c r="D21" s="3">
        <v>50</v>
      </c>
      <c r="E21" s="3">
        <v>50</v>
      </c>
      <c r="F21" s="56">
        <f t="shared" si="0"/>
        <v>0</v>
      </c>
      <c r="G21" s="5">
        <f>IF(Race="",0,VLOOKUP(Race,Table_Race,11,FALSE))</f>
        <v>0</v>
      </c>
      <c r="H21" s="4"/>
      <c r="I21" s="57">
        <f t="shared" si="1"/>
        <v>0</v>
      </c>
      <c r="J21" s="332" t="s">
        <v>71</v>
      </c>
      <c r="K21" s="269"/>
      <c r="L21" s="269"/>
      <c r="M21" s="164" t="s">
        <v>76</v>
      </c>
      <c r="N21" s="5">
        <f>EM</f>
        <v>0</v>
      </c>
      <c r="O21" s="5">
        <f>Level*2</f>
        <v>8</v>
      </c>
      <c r="P21" s="5" t="e">
        <f>VLOOKUP(Race,Table_Race,14,FALSE)</f>
        <v>#N/A</v>
      </c>
      <c r="Q21" s="5">
        <f>IF(Realm="Essence",10,IF(OR(Realm="Channeling/Essence",Realm="Essence/Mentalism"),5,0))</f>
        <v>0</v>
      </c>
      <c r="R21" s="21" t="e">
        <f>SUM(N21:Q21)</f>
        <v>#N/A</v>
      </c>
    </row>
    <row r="22" spans="1:22" x14ac:dyDescent="0.25">
      <c r="A22" s="333" t="s">
        <v>26</v>
      </c>
      <c r="B22" s="334"/>
      <c r="C22" s="334"/>
      <c r="D22" s="3">
        <v>50</v>
      </c>
      <c r="E22" s="3">
        <v>90</v>
      </c>
      <c r="F22" s="56">
        <f t="shared" si="0"/>
        <v>8</v>
      </c>
      <c r="G22" s="5">
        <f>IF(Race="",0,VLOOKUP(Race,Table_Race,12,FALSE))</f>
        <v>0</v>
      </c>
      <c r="H22" s="4"/>
      <c r="I22" s="57">
        <f t="shared" si="1"/>
        <v>8</v>
      </c>
      <c r="J22" s="332" t="s">
        <v>72</v>
      </c>
      <c r="K22" s="269"/>
      <c r="L22" s="269"/>
      <c r="M22" s="164" t="s">
        <v>77</v>
      </c>
      <c r="N22" s="5">
        <f>PR</f>
        <v>0</v>
      </c>
      <c r="O22" s="5">
        <f>Level*2</f>
        <v>8</v>
      </c>
      <c r="P22" s="5" t="e">
        <f>VLOOKUP(Race,Table_Race,15,FALSE)</f>
        <v>#N/A</v>
      </c>
      <c r="Q22" s="5">
        <f>IF(Realm="Mentalism",10,IF(OR(Realm="Essence/Mentalism",Realm="Channeling/Mentalism"),5,0))</f>
        <v>0</v>
      </c>
      <c r="R22" s="21" t="e">
        <f>SUM(N22:Q22)</f>
        <v>#N/A</v>
      </c>
    </row>
    <row r="23" spans="1:22" ht="15.75" thickBot="1" x14ac:dyDescent="0.3">
      <c r="A23" s="321" t="s">
        <v>245</v>
      </c>
      <c r="B23" s="277"/>
      <c r="C23" s="277"/>
      <c r="D23" s="22"/>
      <c r="E23" s="22"/>
      <c r="F23" s="166"/>
      <c r="G23" s="23"/>
      <c r="H23" s="23"/>
      <c r="I23" s="58">
        <f>IF(Realm="",0,VLOOKUP(Realm,Table_Realm_Stat,2,FALSE))</f>
        <v>0</v>
      </c>
      <c r="J23" s="332" t="s">
        <v>73</v>
      </c>
      <c r="K23" s="269"/>
      <c r="L23" s="269"/>
      <c r="M23" s="164" t="s">
        <v>78</v>
      </c>
      <c r="N23" s="5">
        <f>CO</f>
        <v>0</v>
      </c>
      <c r="O23" s="5">
        <f>Level*2</f>
        <v>8</v>
      </c>
      <c r="P23" s="5" t="e">
        <f>VLOOKUP(Race,Table_Race,16,FALSE)</f>
        <v>#N/A</v>
      </c>
      <c r="Q23" s="4"/>
      <c r="R23" s="21" t="e">
        <f>SUM(N23:Q23)</f>
        <v>#N/A</v>
      </c>
    </row>
    <row r="24" spans="1:22" ht="15.75" thickBot="1" x14ac:dyDescent="0.3">
      <c r="A24" s="15"/>
      <c r="B24" s="412" t="s">
        <v>610</v>
      </c>
      <c r="C24" s="412"/>
      <c r="D24" s="412"/>
      <c r="E24" s="167">
        <f>SUM(F13:F22)</f>
        <v>8</v>
      </c>
      <c r="F24" s="412" t="s">
        <v>609</v>
      </c>
      <c r="G24" s="412"/>
      <c r="H24" s="412"/>
      <c r="I24" s="167">
        <f>SUM(Source_Data!AF16:AF25)</f>
        <v>0</v>
      </c>
      <c r="J24" s="321" t="s">
        <v>74</v>
      </c>
      <c r="K24" s="277"/>
      <c r="L24" s="277"/>
      <c r="M24" s="22" t="s">
        <v>79</v>
      </c>
      <c r="N24" s="19">
        <f>SD</f>
        <v>0</v>
      </c>
      <c r="O24" s="19">
        <f>Level*2</f>
        <v>8</v>
      </c>
      <c r="P24" s="19"/>
      <c r="Q24" s="25"/>
      <c r="R24" s="24">
        <f>SUM(N24:Q24)</f>
        <v>8</v>
      </c>
    </row>
    <row r="25" spans="1:22" ht="15" customHeight="1" x14ac:dyDescent="0.25">
      <c r="A25" s="329" t="s">
        <v>457</v>
      </c>
      <c r="B25" s="298"/>
      <c r="C25" s="399" t="s">
        <v>64</v>
      </c>
      <c r="D25" s="399"/>
      <c r="E25" s="399"/>
      <c r="F25" s="399"/>
      <c r="G25" s="399"/>
      <c r="H25" s="7" t="s">
        <v>65</v>
      </c>
      <c r="I25" s="7" t="s">
        <v>67</v>
      </c>
      <c r="J25" s="7" t="s">
        <v>66</v>
      </c>
      <c r="K25" s="272" t="s">
        <v>455</v>
      </c>
      <c r="L25" s="272"/>
      <c r="M25" s="272" t="s">
        <v>133</v>
      </c>
      <c r="N25" s="272"/>
      <c r="O25" s="272" t="s">
        <v>101</v>
      </c>
      <c r="P25" s="272"/>
      <c r="Q25" s="272" t="s">
        <v>12</v>
      </c>
      <c r="R25" s="400"/>
    </row>
    <row r="26" spans="1:22" x14ac:dyDescent="0.25">
      <c r="A26" s="315" t="s">
        <v>59</v>
      </c>
      <c r="B26" s="305"/>
      <c r="C26" s="214" t="s">
        <v>491</v>
      </c>
      <c r="D26" s="215"/>
      <c r="E26" s="215"/>
      <c r="F26" s="215"/>
      <c r="G26" s="213"/>
      <c r="H26" s="29">
        <f>VLOOKUP($C$26,Table_Armor_Chest,2,FALSE)</f>
        <v>5</v>
      </c>
      <c r="I26" s="4"/>
      <c r="J26" s="29">
        <f>VLOOKUP($C$26,Table_Armor_Chest,4,FALSE)</f>
        <v>40</v>
      </c>
      <c r="K26" s="319">
        <f>VLOOKUP($C$26,Table_Armor_Chest,5,FALSE)</f>
        <v>-15</v>
      </c>
      <c r="L26" s="320">
        <f>VLOOKUP($C$26,Table_Armor_Chest,2,FALSE)</f>
        <v>5</v>
      </c>
      <c r="M26" s="319">
        <f>VLOOKUP($C$26,Table_Armor_Chest,6,FALSE)</f>
        <v>0</v>
      </c>
      <c r="N26" s="320">
        <f>VLOOKUP($C$26,Table_Armor_Chest,2,FALSE)</f>
        <v>5</v>
      </c>
      <c r="O26" s="319">
        <f>VLOOKUP($C$26,Table_Armor_Chest,7,FALSE)</f>
        <v>0</v>
      </c>
      <c r="P26" s="320">
        <f>VLOOKUP($C$26,Table_Armor_Chest,2,FALSE)</f>
        <v>5</v>
      </c>
      <c r="Q26" s="387">
        <f>VLOOKUP($C$26,Table_Armor_Chest,3,FALSE)</f>
        <v>0.05</v>
      </c>
      <c r="R26" s="388">
        <f>VLOOKUP($C$26,Table_Armor_Chest,2,FALSE)</f>
        <v>5</v>
      </c>
    </row>
    <row r="27" spans="1:22" x14ac:dyDescent="0.25">
      <c r="A27" s="315" t="s">
        <v>60</v>
      </c>
      <c r="B27" s="305"/>
      <c r="C27" s="214" t="s">
        <v>429</v>
      </c>
      <c r="D27" s="215"/>
      <c r="E27" s="215"/>
      <c r="F27" s="215"/>
      <c r="G27" s="213"/>
      <c r="H27" s="29">
        <f>VLOOKUP($C$27,Table_Armor_Head,2,FALSE)</f>
        <v>1</v>
      </c>
      <c r="I27" s="4"/>
      <c r="J27" s="29">
        <f>VLOOKUP($C$27,Table_Armor_Head,4,FALSE)</f>
        <v>0</v>
      </c>
      <c r="K27" s="319">
        <f>VLOOKUP($C$27,Table_Armor_Head,5,FALSE)</f>
        <v>0</v>
      </c>
      <c r="L27" s="320">
        <f>VLOOKUP($C$26,Table_Armor_Chest,2,FALSE)</f>
        <v>5</v>
      </c>
      <c r="M27" s="319">
        <f>VLOOKUP($C$27,Table_Armor_Head,6,FALSE)</f>
        <v>0</v>
      </c>
      <c r="N27" s="320">
        <f>VLOOKUP($C$26,Table_Armor_Chest,2,FALSE)</f>
        <v>5</v>
      </c>
      <c r="O27" s="319">
        <f>VLOOKUP($C$27,Table_Armor_Head,7,FALSE)</f>
        <v>0</v>
      </c>
      <c r="P27" s="320">
        <f>VLOOKUP($C$26,Table_Armor_Chest,2,FALSE)</f>
        <v>5</v>
      </c>
      <c r="Q27" s="387">
        <f>VLOOKUP($C$27,Table_Armor_Head,3,FALSE)</f>
        <v>0</v>
      </c>
      <c r="R27" s="388">
        <f>VLOOKUP($C$26,Table_Armor_Chest,2,FALSE)</f>
        <v>5</v>
      </c>
    </row>
    <row r="28" spans="1:22" x14ac:dyDescent="0.25">
      <c r="A28" s="315" t="s">
        <v>61</v>
      </c>
      <c r="B28" s="305"/>
      <c r="C28" s="214" t="s">
        <v>429</v>
      </c>
      <c r="D28" s="215"/>
      <c r="E28" s="215"/>
      <c r="F28" s="215"/>
      <c r="G28" s="213"/>
      <c r="H28" s="29">
        <f>VLOOKUP($C$28,Table_Armor_Arms,2,FALSE)</f>
        <v>1</v>
      </c>
      <c r="I28" s="4"/>
      <c r="J28" s="29">
        <f>VLOOKUP($C$28,Table_Armor_Arms,4,FALSE)</f>
        <v>0</v>
      </c>
      <c r="K28" s="319">
        <f>VLOOKUP($C$28,Table_Armor_Arms,5,FALSE)</f>
        <v>0</v>
      </c>
      <c r="L28" s="320">
        <f>VLOOKUP($C$26,Table_Armor_Chest,2,FALSE)</f>
        <v>5</v>
      </c>
      <c r="M28" s="319">
        <f>VLOOKUP($C$28,Table_Armor_Arms,6,FALSE)</f>
        <v>0</v>
      </c>
      <c r="N28" s="320">
        <f>VLOOKUP($C$26,Table_Armor_Chest,2,FALSE)</f>
        <v>5</v>
      </c>
      <c r="O28" s="319">
        <f>VLOOKUP($C$28,Table_Armor_Arms,7,FALSE)</f>
        <v>0</v>
      </c>
      <c r="P28" s="320">
        <f>VLOOKUP($C$26,Table_Armor_Chest,2,FALSE)</f>
        <v>5</v>
      </c>
      <c r="Q28" s="387">
        <f>VLOOKUP($C$28,Table_Armor_Arms,3,FALSE)</f>
        <v>0</v>
      </c>
      <c r="R28" s="388">
        <f>VLOOKUP($C$26,Table_Armor_Chest,2,FALSE)</f>
        <v>5</v>
      </c>
    </row>
    <row r="29" spans="1:22" x14ac:dyDescent="0.25">
      <c r="A29" s="315" t="s">
        <v>62</v>
      </c>
      <c r="B29" s="305"/>
      <c r="C29" s="214" t="s">
        <v>429</v>
      </c>
      <c r="D29" s="215"/>
      <c r="E29" s="215"/>
      <c r="F29" s="215"/>
      <c r="G29" s="213"/>
      <c r="H29" s="29">
        <f>VLOOKUP($C$29,Table_Armor_Legs,2,FALSE)</f>
        <v>1</v>
      </c>
      <c r="I29" s="4"/>
      <c r="J29" s="29">
        <f>VLOOKUP($C$29,Table_Armor_Legs,4,FALSE)</f>
        <v>0</v>
      </c>
      <c r="K29" s="319">
        <f>VLOOKUP($C$29,Table_Armor_Legs,5,FALSE)</f>
        <v>0</v>
      </c>
      <c r="L29" s="320">
        <f>VLOOKUP($C$26,Table_Armor_Chest,2,FALSE)</f>
        <v>5</v>
      </c>
      <c r="M29" s="319">
        <f>VLOOKUP($C$29,Table_Armor_Legs,6,FALSE)</f>
        <v>0</v>
      </c>
      <c r="N29" s="320">
        <f>VLOOKUP($C$26,Table_Armor_Chest,2,FALSE)</f>
        <v>5</v>
      </c>
      <c r="O29" s="319">
        <f>VLOOKUP($C$29,Table_Armor_Legs,7,FALSE)</f>
        <v>0</v>
      </c>
      <c r="P29" s="320">
        <f>VLOOKUP($C$26,Table_Armor_Chest,2,FALSE)</f>
        <v>5</v>
      </c>
      <c r="Q29" s="387">
        <f>VLOOKUP($C$29,Table_Armor_Legs,3,FALSE)</f>
        <v>0</v>
      </c>
      <c r="R29" s="388">
        <f>VLOOKUP($C$26,Table_Armor_Chest,2,FALSE)</f>
        <v>5</v>
      </c>
    </row>
    <row r="30" spans="1:22" ht="15.75" thickBot="1" x14ac:dyDescent="0.3">
      <c r="A30" s="327" t="s">
        <v>30</v>
      </c>
      <c r="B30" s="328"/>
      <c r="C30" s="396"/>
      <c r="D30" s="397"/>
      <c r="E30" s="397"/>
      <c r="F30" s="397"/>
      <c r="G30" s="398"/>
      <c r="H30" s="28"/>
      <c r="I30" s="172">
        <f>SUM(I26:I29)</f>
        <v>0</v>
      </c>
      <c r="J30" s="28"/>
      <c r="K30" s="324">
        <f>SUM(K26:K29)+H30</f>
        <v>-15</v>
      </c>
      <c r="L30" s="325"/>
      <c r="M30" s="324">
        <f>SUM(M26:M29)</f>
        <v>0</v>
      </c>
      <c r="N30" s="325"/>
      <c r="O30" s="324">
        <f>SUM(O26:O29)</f>
        <v>0</v>
      </c>
      <c r="P30" s="325"/>
      <c r="Q30" s="391">
        <f>SUM(Q26:Q29)</f>
        <v>0.05</v>
      </c>
      <c r="R30" s="392"/>
    </row>
    <row r="31" spans="1:22" ht="15.75" thickBot="1" x14ac:dyDescent="0.3">
      <c r="A31" s="315" t="s">
        <v>63</v>
      </c>
      <c r="B31" s="305"/>
      <c r="C31" s="393" t="s">
        <v>429</v>
      </c>
      <c r="D31" s="394"/>
      <c r="E31" s="394"/>
      <c r="F31" s="394"/>
      <c r="G31" s="395"/>
      <c r="H31" s="176" t="s">
        <v>436</v>
      </c>
      <c r="I31" s="178">
        <f>VLOOKUP($C$31,Table_Armor_Shields,2,FALSE)</f>
        <v>0</v>
      </c>
      <c r="J31" s="28">
        <f>VLOOKUP($C$31,Table_Armor_Shields,4,FALSE)</f>
        <v>0</v>
      </c>
      <c r="K31" s="322"/>
      <c r="L31" s="323"/>
      <c r="M31" s="322"/>
      <c r="N31" s="323"/>
      <c r="O31" s="322" t="s">
        <v>456</v>
      </c>
      <c r="P31" s="323"/>
      <c r="Q31" s="389">
        <f>VLOOKUP($C$31,Table_Armor_Shields,5,FALSE)</f>
        <v>0</v>
      </c>
      <c r="R31" s="390"/>
    </row>
    <row r="32" spans="1:22" x14ac:dyDescent="0.25">
      <c r="A32" s="413" t="s">
        <v>512</v>
      </c>
      <c r="B32" s="414"/>
      <c r="C32" s="414"/>
      <c r="D32" s="139">
        <f>MAX(SUMIF(I33:I39,"&gt;0")-10,0)+SUMIF(I33:I39,"&lt;0")</f>
        <v>0</v>
      </c>
      <c r="E32" s="415" t="s">
        <v>511</v>
      </c>
      <c r="F32" s="415"/>
      <c r="G32" s="415"/>
      <c r="H32" s="179" t="s">
        <v>619</v>
      </c>
      <c r="I32" s="180" t="s">
        <v>439</v>
      </c>
      <c r="J32" s="98" t="s">
        <v>85</v>
      </c>
      <c r="K32" s="98"/>
      <c r="L32" s="98" t="s">
        <v>304</v>
      </c>
      <c r="M32" s="98"/>
      <c r="N32" s="98"/>
      <c r="O32" s="98"/>
      <c r="P32" s="98"/>
      <c r="Q32" s="98" t="s">
        <v>89</v>
      </c>
      <c r="R32" s="99" t="s">
        <v>29</v>
      </c>
      <c r="V32" s="161"/>
    </row>
    <row r="33" spans="1:18" ht="15" customHeight="1" x14ac:dyDescent="0.25">
      <c r="A33" s="406" t="e">
        <f>VLOOKUP(Race,Table_Race,27,FALSE)</f>
        <v>#N/A</v>
      </c>
      <c r="B33" s="407"/>
      <c r="C33" s="407"/>
      <c r="D33" s="408"/>
      <c r="E33" s="372"/>
      <c r="F33" s="373"/>
      <c r="G33" s="374"/>
      <c r="H33" s="174"/>
      <c r="I33" s="175"/>
      <c r="J33" s="215" t="s">
        <v>100</v>
      </c>
      <c r="K33" s="213"/>
      <c r="L33" s="214" t="s">
        <v>101</v>
      </c>
      <c r="M33" s="215"/>
      <c r="N33" s="215"/>
      <c r="O33" s="215"/>
      <c r="P33" s="213"/>
      <c r="Q33" s="3">
        <f>Skills!BA11</f>
        <v>0</v>
      </c>
      <c r="R33" s="163">
        <f>Skills!BG11</f>
        <v>0</v>
      </c>
    </row>
    <row r="34" spans="1:18" x14ac:dyDescent="0.25">
      <c r="A34" s="406"/>
      <c r="B34" s="407"/>
      <c r="C34" s="407"/>
      <c r="D34" s="408"/>
      <c r="E34" s="372"/>
      <c r="F34" s="373"/>
      <c r="G34" s="374"/>
      <c r="H34" s="3"/>
      <c r="I34" s="9"/>
      <c r="J34" s="215"/>
      <c r="K34" s="213"/>
      <c r="L34" s="214"/>
      <c r="M34" s="215"/>
      <c r="N34" s="215"/>
      <c r="O34" s="215"/>
      <c r="P34" s="213"/>
      <c r="Q34" s="3"/>
      <c r="R34" s="163"/>
    </row>
    <row r="35" spans="1:18" x14ac:dyDescent="0.25">
      <c r="A35" s="406"/>
      <c r="B35" s="407"/>
      <c r="C35" s="407"/>
      <c r="D35" s="408"/>
      <c r="E35" s="372"/>
      <c r="F35" s="373"/>
      <c r="G35" s="374"/>
      <c r="H35" s="3"/>
      <c r="I35" s="9"/>
      <c r="J35" s="215"/>
      <c r="K35" s="213"/>
      <c r="L35" s="214"/>
      <c r="M35" s="215"/>
      <c r="N35" s="215"/>
      <c r="O35" s="215"/>
      <c r="P35" s="213"/>
      <c r="Q35" s="3"/>
      <c r="R35" s="163"/>
    </row>
    <row r="36" spans="1:18" x14ac:dyDescent="0.25">
      <c r="A36" s="406"/>
      <c r="B36" s="407"/>
      <c r="C36" s="407"/>
      <c r="D36" s="408"/>
      <c r="E36" s="372"/>
      <c r="F36" s="373"/>
      <c r="G36" s="374"/>
      <c r="H36" s="3"/>
      <c r="I36" s="9"/>
      <c r="J36" s="215"/>
      <c r="K36" s="213"/>
      <c r="L36" s="214"/>
      <c r="M36" s="215"/>
      <c r="N36" s="215"/>
      <c r="O36" s="215"/>
      <c r="P36" s="213"/>
      <c r="Q36" s="3"/>
      <c r="R36" s="163"/>
    </row>
    <row r="37" spans="1:18" x14ac:dyDescent="0.25">
      <c r="A37" s="406"/>
      <c r="B37" s="407"/>
      <c r="C37" s="407"/>
      <c r="D37" s="408"/>
      <c r="E37" s="372"/>
      <c r="F37" s="373"/>
      <c r="G37" s="374"/>
      <c r="H37" s="3"/>
      <c r="I37" s="9"/>
      <c r="J37" s="215"/>
      <c r="K37" s="213"/>
      <c r="L37" s="214"/>
      <c r="M37" s="215"/>
      <c r="N37" s="215"/>
      <c r="O37" s="215"/>
      <c r="P37" s="213"/>
      <c r="Q37" s="3"/>
      <c r="R37" s="163"/>
    </row>
    <row r="38" spans="1:18" ht="15" customHeight="1" x14ac:dyDescent="0.25">
      <c r="A38" s="406"/>
      <c r="B38" s="407"/>
      <c r="C38" s="407"/>
      <c r="D38" s="408"/>
      <c r="E38" s="372"/>
      <c r="F38" s="373"/>
      <c r="G38" s="374"/>
      <c r="H38" s="3"/>
      <c r="I38" s="9"/>
      <c r="J38" s="215"/>
      <c r="K38" s="213"/>
      <c r="L38" s="214"/>
      <c r="M38" s="215"/>
      <c r="N38" s="215"/>
      <c r="O38" s="215"/>
      <c r="P38" s="213"/>
      <c r="Q38" s="3"/>
      <c r="R38" s="163"/>
    </row>
    <row r="39" spans="1:18" ht="15" customHeight="1" thickBot="1" x14ac:dyDescent="0.3">
      <c r="A39" s="409"/>
      <c r="B39" s="410"/>
      <c r="C39" s="410"/>
      <c r="D39" s="411"/>
      <c r="E39" s="403"/>
      <c r="F39" s="404"/>
      <c r="G39" s="405"/>
      <c r="H39" s="26"/>
      <c r="I39" s="173"/>
      <c r="J39" s="208"/>
      <c r="K39" s="206"/>
      <c r="L39" s="207"/>
      <c r="M39" s="208"/>
      <c r="N39" s="208"/>
      <c r="O39" s="208"/>
      <c r="P39" s="206"/>
      <c r="Q39" s="26"/>
      <c r="R39" s="171"/>
    </row>
    <row r="40" spans="1:18" ht="15" customHeight="1" x14ac:dyDescent="0.25"/>
    <row r="41" spans="1:18" ht="15" customHeight="1" x14ac:dyDescent="0.25"/>
    <row r="42" spans="1:18" ht="15" customHeight="1" x14ac:dyDescent="0.25"/>
    <row r="43" spans="1:18" ht="15" customHeight="1" x14ac:dyDescent="0.25"/>
  </sheetData>
  <mergeCells count="172">
    <mergeCell ref="E36:G36"/>
    <mergeCell ref="E37:G37"/>
    <mergeCell ref="E38:G38"/>
    <mergeCell ref="E39:G39"/>
    <mergeCell ref="A33:D39"/>
    <mergeCell ref="J33:K33"/>
    <mergeCell ref="F24:H24"/>
    <mergeCell ref="B24:D24"/>
    <mergeCell ref="A32:C32"/>
    <mergeCell ref="J34:K34"/>
    <mergeCell ref="J39:K39"/>
    <mergeCell ref="K31:L31"/>
    <mergeCell ref="L34:P34"/>
    <mergeCell ref="J35:K35"/>
    <mergeCell ref="L35:P35"/>
    <mergeCell ref="J36:K36"/>
    <mergeCell ref="L36:P36"/>
    <mergeCell ref="J37:K37"/>
    <mergeCell ref="L37:P37"/>
    <mergeCell ref="J38:K38"/>
    <mergeCell ref="L38:P38"/>
    <mergeCell ref="L39:P39"/>
    <mergeCell ref="E32:G32"/>
    <mergeCell ref="E33:G33"/>
    <mergeCell ref="J19:L19"/>
    <mergeCell ref="J20:L20"/>
    <mergeCell ref="Q13:R13"/>
    <mergeCell ref="Q12:R12"/>
    <mergeCell ref="Q31:R31"/>
    <mergeCell ref="Q30:R30"/>
    <mergeCell ref="C26:G26"/>
    <mergeCell ref="C27:G27"/>
    <mergeCell ref="C28:G28"/>
    <mergeCell ref="C29:G29"/>
    <mergeCell ref="C31:G31"/>
    <mergeCell ref="C30:G30"/>
    <mergeCell ref="C25:G25"/>
    <mergeCell ref="Q25:R25"/>
    <mergeCell ref="Q26:R26"/>
    <mergeCell ref="Q27:R27"/>
    <mergeCell ref="O12:P12"/>
    <mergeCell ref="K12:L12"/>
    <mergeCell ref="O31:P31"/>
    <mergeCell ref="O30:P30"/>
    <mergeCell ref="M30:N30"/>
    <mergeCell ref="Q18:R18"/>
    <mergeCell ref="O29:P29"/>
    <mergeCell ref="A20:C20"/>
    <mergeCell ref="E34:G34"/>
    <mergeCell ref="E35:G35"/>
    <mergeCell ref="C6:E6"/>
    <mergeCell ref="C7:E7"/>
    <mergeCell ref="L33:P33"/>
    <mergeCell ref="Q2:R2"/>
    <mergeCell ref="Q3:R3"/>
    <mergeCell ref="Q4:R4"/>
    <mergeCell ref="D2:M2"/>
    <mergeCell ref="D3:M3"/>
    <mergeCell ref="D4:M4"/>
    <mergeCell ref="F8:G8"/>
    <mergeCell ref="Q5:R5"/>
    <mergeCell ref="K5:N5"/>
    <mergeCell ref="K6:N6"/>
    <mergeCell ref="O6:P6"/>
    <mergeCell ref="K7:N7"/>
    <mergeCell ref="O7:P7"/>
    <mergeCell ref="Q16:R16"/>
    <mergeCell ref="Q28:R28"/>
    <mergeCell ref="Q29:R29"/>
    <mergeCell ref="K13:L13"/>
    <mergeCell ref="M13:N13"/>
    <mergeCell ref="O13:P13"/>
    <mergeCell ref="M12:N12"/>
    <mergeCell ref="A2:C2"/>
    <mergeCell ref="A3:C3"/>
    <mergeCell ref="A4:C4"/>
    <mergeCell ref="N2:P2"/>
    <mergeCell ref="N3:P3"/>
    <mergeCell ref="N4:P4"/>
    <mergeCell ref="A5:B5"/>
    <mergeCell ref="A6:B6"/>
    <mergeCell ref="A7:B7"/>
    <mergeCell ref="F5:G5"/>
    <mergeCell ref="O5:P5"/>
    <mergeCell ref="F6:G6"/>
    <mergeCell ref="H5:J5"/>
    <mergeCell ref="H6:J6"/>
    <mergeCell ref="H7:J7"/>
    <mergeCell ref="F7:G7"/>
    <mergeCell ref="C5:E5"/>
    <mergeCell ref="A17:C17"/>
    <mergeCell ref="A16:C16"/>
    <mergeCell ref="A15:C15"/>
    <mergeCell ref="J21:L21"/>
    <mergeCell ref="A14:C14"/>
    <mergeCell ref="Q6:R6"/>
    <mergeCell ref="Q7:R7"/>
    <mergeCell ref="F11:G11"/>
    <mergeCell ref="F10:G10"/>
    <mergeCell ref="H8:J8"/>
    <mergeCell ref="H11:J11"/>
    <mergeCell ref="H10:J10"/>
    <mergeCell ref="F9:G9"/>
    <mergeCell ref="H9:J9"/>
    <mergeCell ref="Q8:R8"/>
    <mergeCell ref="M9:O11"/>
    <mergeCell ref="P9:R11"/>
    <mergeCell ref="K9:L9"/>
    <mergeCell ref="K10:L11"/>
    <mergeCell ref="M8:N8"/>
    <mergeCell ref="O8:P8"/>
    <mergeCell ref="K8:L8"/>
    <mergeCell ref="C9:E9"/>
    <mergeCell ref="C8:E8"/>
    <mergeCell ref="A1:R1"/>
    <mergeCell ref="C10:E10"/>
    <mergeCell ref="C11:E11"/>
    <mergeCell ref="J22:L22"/>
    <mergeCell ref="J23:L23"/>
    <mergeCell ref="J24:L24"/>
    <mergeCell ref="M14:N14"/>
    <mergeCell ref="Q14:R14"/>
    <mergeCell ref="K15:L15"/>
    <mergeCell ref="M15:N15"/>
    <mergeCell ref="O15:P15"/>
    <mergeCell ref="Q15:R15"/>
    <mergeCell ref="A13:C13"/>
    <mergeCell ref="A12:C12"/>
    <mergeCell ref="A9:B9"/>
    <mergeCell ref="A10:B10"/>
    <mergeCell ref="A11:B11"/>
    <mergeCell ref="O17:P17"/>
    <mergeCell ref="Q17:R17"/>
    <mergeCell ref="K14:L14"/>
    <mergeCell ref="A8:B8"/>
    <mergeCell ref="K16:L16"/>
    <mergeCell ref="M16:N16"/>
    <mergeCell ref="O16:P16"/>
    <mergeCell ref="O14:P14"/>
    <mergeCell ref="A30:B30"/>
    <mergeCell ref="A25:B25"/>
    <mergeCell ref="A26:B26"/>
    <mergeCell ref="A27:B27"/>
    <mergeCell ref="A28:B28"/>
    <mergeCell ref="A29:B29"/>
    <mergeCell ref="A31:B31"/>
    <mergeCell ref="K18:L18"/>
    <mergeCell ref="M18:N18"/>
    <mergeCell ref="O18:P18"/>
    <mergeCell ref="K17:L17"/>
    <mergeCell ref="M17:N17"/>
    <mergeCell ref="K25:L25"/>
    <mergeCell ref="M25:N25"/>
    <mergeCell ref="O25:P25"/>
    <mergeCell ref="O26:P26"/>
    <mergeCell ref="O27:P27"/>
    <mergeCell ref="O28:P28"/>
    <mergeCell ref="A21:C21"/>
    <mergeCell ref="A22:C22"/>
    <mergeCell ref="K26:L26"/>
    <mergeCell ref="A19:C19"/>
    <mergeCell ref="A18:C18"/>
    <mergeCell ref="M26:N26"/>
    <mergeCell ref="K27:L27"/>
    <mergeCell ref="M27:N27"/>
    <mergeCell ref="K28:L28"/>
    <mergeCell ref="M28:N28"/>
    <mergeCell ref="K29:L29"/>
    <mergeCell ref="A23:C23"/>
    <mergeCell ref="M29:N29"/>
    <mergeCell ref="M31:N31"/>
    <mergeCell ref="K30:L30"/>
  </mergeCells>
  <dataValidations count="1">
    <dataValidation type="list" allowBlank="1" showInputMessage="1" showErrorMessage="1" sqref="C8:E8" xr:uid="{DB07E802-83DB-41B6-942C-06AD6C6BFDEB}">
      <formula1>Realm_Options</formula1>
    </dataValidation>
  </dataValidations>
  <printOptions horizontalCentered="1" verticalCentered="1"/>
  <pageMargins left="0.25" right="0.25" top="0.25" bottom="0.25" header="0.3" footer="0.3"/>
  <pageSetup scale="88" orientation="landscape" horizontalDpi="203" verticalDpi="203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67D1F17F-CA20-4584-9032-562B29A26542}">
          <x14:formula1>
            <xm:f>Source_Data!$AE$3:$AE$12</xm:f>
          </x14:formula1>
          <xm:sqref>C6:E6</xm:sqref>
        </x14:dataValidation>
        <x14:dataValidation type="list" allowBlank="1" showInputMessage="1" showErrorMessage="1" xr:uid="{15A58F2E-2754-4C6A-B4A8-3F4175D7D322}">
          <x14:formula1>
            <xm:f>Source_Data!$D$3:$D$24</xm:f>
          </x14:formula1>
          <xm:sqref>C7:E7</xm:sqref>
        </x14:dataValidation>
        <x14:dataValidation type="list" allowBlank="1" showInputMessage="1" showErrorMessage="1" xr:uid="{1219F42A-FF77-4CC7-8E46-1FAE1779FFC0}">
          <x14:formula1>
            <xm:f>Source_Data!$G$43:$G$52</xm:f>
          </x14:formula1>
          <xm:sqref>C26:G26</xm:sqref>
        </x14:dataValidation>
        <x14:dataValidation type="list" allowBlank="1" showInputMessage="1" showErrorMessage="1" xr:uid="{968E8BBD-DC6F-4B41-82D6-94BAB65CB64E}">
          <x14:formula1>
            <xm:f>Source_Data!$G$53:$G$62</xm:f>
          </x14:formula1>
          <xm:sqref>C27:G27</xm:sqref>
        </x14:dataValidation>
        <x14:dataValidation type="list" allowBlank="1" showInputMessage="1" showErrorMessage="1" xr:uid="{D64D1212-5038-4321-9A73-C600A5A22149}">
          <x14:formula1>
            <xm:f>Source_Data!$G$63:$G$72</xm:f>
          </x14:formula1>
          <xm:sqref>C28:G28</xm:sqref>
        </x14:dataValidation>
        <x14:dataValidation type="list" allowBlank="1" showInputMessage="1" showErrorMessage="1" xr:uid="{A131FCCE-64D0-427B-BD96-DC51C96985FC}">
          <x14:formula1>
            <xm:f>Source_Data!$G$73:$G$82</xm:f>
          </x14:formula1>
          <xm:sqref>C29:G29</xm:sqref>
        </x14:dataValidation>
        <x14:dataValidation type="list" allowBlank="1" showInputMessage="1" showErrorMessage="1" xr:uid="{87858E61-6389-4DB5-BA3A-812A96CF6046}">
          <x14:formula1>
            <xm:f>Source_Data!$P$43:$P$47</xm:f>
          </x14:formula1>
          <xm:sqref>C31:G31</xm:sqref>
        </x14:dataValidation>
        <x14:dataValidation type="list" allowBlank="1" showInputMessage="1" showErrorMessage="1" xr:uid="{8946E129-EDB7-43C2-A12E-E5D2986E4E38}">
          <x14:formula1>
            <xm:f>Worksheet!$C$19:$C$26</xm:f>
          </x14:formula1>
          <xm:sqref>C5:E5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5E255-3078-4EDE-BD33-0AE30BF6266E}">
  <sheetPr>
    <pageSetUpPr fitToPage="1"/>
  </sheetPr>
  <dimension ref="A1:AA53"/>
  <sheetViews>
    <sheetView tabSelected="1" workbookViewId="0">
      <selection activeCell="T48" sqref="T48"/>
    </sheetView>
  </sheetViews>
  <sheetFormatPr defaultRowHeight="15" x14ac:dyDescent="0.25"/>
  <cols>
    <col min="2" max="19" width="8.5703125" customWidth="1"/>
    <col min="20" max="20" width="11.140625" customWidth="1"/>
  </cols>
  <sheetData>
    <row r="1" spans="1:27" ht="15.75" thickBot="1" x14ac:dyDescent="0.3">
      <c r="A1" s="209" t="s">
        <v>608</v>
      </c>
      <c r="B1" s="216" t="s">
        <v>534</v>
      </c>
      <c r="C1" s="217"/>
      <c r="D1" s="217">
        <f>Front!D2</f>
        <v>0</v>
      </c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24"/>
      <c r="T1" s="190" t="s">
        <v>620</v>
      </c>
      <c r="U1" s="191" t="s">
        <v>12</v>
      </c>
      <c r="V1" s="191" t="s">
        <v>613</v>
      </c>
      <c r="W1" s="192" t="s">
        <v>15</v>
      </c>
      <c r="X1" s="191" t="s">
        <v>620</v>
      </c>
      <c r="Y1" s="191" t="s">
        <v>12</v>
      </c>
      <c r="Z1" s="191" t="s">
        <v>613</v>
      </c>
      <c r="AA1" s="193" t="s">
        <v>15</v>
      </c>
    </row>
    <row r="2" spans="1:27" ht="15.75" customHeight="1" thickBot="1" x14ac:dyDescent="0.3">
      <c r="A2" s="210"/>
      <c r="B2" s="225" t="s">
        <v>535</v>
      </c>
      <c r="C2" s="237" t="s">
        <v>537</v>
      </c>
      <c r="D2" s="237"/>
      <c r="E2" s="237"/>
      <c r="F2" s="237"/>
      <c r="G2" s="237"/>
      <c r="H2" s="237"/>
      <c r="I2" s="238"/>
      <c r="J2" s="225" t="s">
        <v>192</v>
      </c>
      <c r="K2" s="98" t="s">
        <v>34</v>
      </c>
      <c r="L2" s="271" t="s">
        <v>626</v>
      </c>
      <c r="M2" s="271"/>
      <c r="N2" s="271" t="s">
        <v>627</v>
      </c>
      <c r="O2" s="271"/>
      <c r="P2" s="272" t="s">
        <v>631</v>
      </c>
      <c r="Q2" s="272"/>
      <c r="R2" s="271" t="s">
        <v>633</v>
      </c>
      <c r="S2" s="273"/>
      <c r="T2" s="185">
        <f>MAX(0.15+2*ST/100,0)</f>
        <v>0.31</v>
      </c>
      <c r="U2" s="186" t="e">
        <f>(VLOOKUP(Race,Table_Race,IF(Front!$H$5="Male",24,25),FALSE))*T2</f>
        <v>#N/A</v>
      </c>
      <c r="V2" s="43">
        <v>0</v>
      </c>
      <c r="W2" s="75" t="s">
        <v>621</v>
      </c>
      <c r="X2" s="187">
        <f t="shared" ref="X2:X39" si="0">MAX(0.15+2*ST/100,0)-Z2/100</f>
        <v>0.69</v>
      </c>
      <c r="Y2" s="182" t="e">
        <f>(VLOOKUP(Race,Table_Race,IF(Front!$H$5="Male",24,25),FALSE))*X2</f>
        <v>#N/A</v>
      </c>
      <c r="Z2" s="177">
        <v>-38</v>
      </c>
      <c r="AA2" s="202" t="s">
        <v>624</v>
      </c>
    </row>
    <row r="3" spans="1:27" x14ac:dyDescent="0.25">
      <c r="A3" s="210"/>
      <c r="B3" s="226"/>
      <c r="C3" s="228">
        <f>ROUND(QU*3,0)+Front!I30</f>
        <v>0</v>
      </c>
      <c r="D3" s="229"/>
      <c r="E3" s="230"/>
      <c r="F3" s="234" t="s">
        <v>538</v>
      </c>
      <c r="G3" s="144" t="e">
        <f>Skills!AC103</f>
        <v>#N/A</v>
      </c>
      <c r="H3" s="218" t="s">
        <v>540</v>
      </c>
      <c r="I3" s="219"/>
      <c r="J3" s="226"/>
      <c r="K3" s="67" t="s">
        <v>35</v>
      </c>
      <c r="L3" s="245" t="e">
        <f>BMR/2</f>
        <v>#N/A</v>
      </c>
      <c r="M3" s="245"/>
      <c r="N3" s="245" t="s">
        <v>628</v>
      </c>
      <c r="O3" s="245"/>
      <c r="P3" s="248" t="e">
        <f ca="1">MIN(MAX((MAX(J42,0)+MMP),0),0)</f>
        <v>#N/A</v>
      </c>
      <c r="Q3" s="247"/>
      <c r="R3" s="274" t="s">
        <v>109</v>
      </c>
      <c r="S3" s="275"/>
      <c r="T3" s="181">
        <f t="shared" ref="T3:T39" si="1">MAX(0.15+2*ST/100,0)-V3/100</f>
        <v>0.32</v>
      </c>
      <c r="U3" s="182" t="e">
        <f>(VLOOKUP(Race,Table_Race,IF(Front!$H$5="Male",24,25),FALSE))*T3</f>
        <v>#N/A</v>
      </c>
      <c r="V3" s="177">
        <v>-1</v>
      </c>
      <c r="W3" s="199" t="s">
        <v>622</v>
      </c>
      <c r="X3" s="188">
        <f t="shared" si="0"/>
        <v>0.7</v>
      </c>
      <c r="Y3" s="184" t="e">
        <f>(VLOOKUP(Race,Table_Race,IF(Front!$H$5="Male",24,25),FALSE))*X3</f>
        <v>#N/A</v>
      </c>
      <c r="Z3" s="1">
        <v>-39</v>
      </c>
      <c r="AA3" s="203"/>
    </row>
    <row r="4" spans="1:27" x14ac:dyDescent="0.25">
      <c r="A4" s="210"/>
      <c r="B4" s="226"/>
      <c r="C4" s="231"/>
      <c r="D4" s="232"/>
      <c r="E4" s="233"/>
      <c r="F4" s="235"/>
      <c r="G4" s="5" t="e">
        <f>ROUND(0.5*Skills!AI103,0)</f>
        <v>#N/A</v>
      </c>
      <c r="H4" s="220" t="s">
        <v>541</v>
      </c>
      <c r="I4" s="221"/>
      <c r="J4" s="226"/>
      <c r="K4" s="67" t="s">
        <v>36</v>
      </c>
      <c r="L4" s="245" t="e">
        <f>MROUND(20+QU/2+Stride,5)</f>
        <v>#N/A</v>
      </c>
      <c r="M4" s="245"/>
      <c r="N4" s="245" t="s">
        <v>628</v>
      </c>
      <c r="O4" s="245"/>
      <c r="P4" s="248" t="e">
        <f ca="1">MIN(-25+MAX((MAX(J42,0)+MMP),0),0)</f>
        <v>#N/A</v>
      </c>
      <c r="Q4" s="247"/>
      <c r="R4" s="249" t="s">
        <v>435</v>
      </c>
      <c r="S4" s="250"/>
      <c r="T4" s="183">
        <f t="shared" si="1"/>
        <v>0.33</v>
      </c>
      <c r="U4" s="184" t="e">
        <f>(VLOOKUP(Race,Table_Race,IF(Front!$H$5="Male",24,25),FALSE))*T4</f>
        <v>#N/A</v>
      </c>
      <c r="V4" s="1">
        <v>-2</v>
      </c>
      <c r="W4" s="200"/>
      <c r="X4" s="188">
        <f t="shared" si="0"/>
        <v>0.71</v>
      </c>
      <c r="Y4" s="184" t="e">
        <f>(VLOOKUP(Race,Table_Race,IF(Front!$H$5="Male",24,25),FALSE))*X4</f>
        <v>#N/A</v>
      </c>
      <c r="Z4" s="1">
        <v>-40</v>
      </c>
      <c r="AA4" s="203"/>
    </row>
    <row r="5" spans="1:27" ht="15.75" thickBot="1" x14ac:dyDescent="0.3">
      <c r="A5" s="210"/>
      <c r="B5" s="226"/>
      <c r="C5" s="231"/>
      <c r="D5" s="232"/>
      <c r="E5" s="233"/>
      <c r="F5" s="236"/>
      <c r="G5" s="19" t="e">
        <f>ROUND(Skills!AI103,0)</f>
        <v>#N/A</v>
      </c>
      <c r="H5" s="222" t="s">
        <v>503</v>
      </c>
      <c r="I5" s="223"/>
      <c r="J5" s="226"/>
      <c r="K5" s="67" t="s">
        <v>37</v>
      </c>
      <c r="L5" s="245" t="e">
        <f>2*BMR</f>
        <v>#N/A</v>
      </c>
      <c r="M5" s="245"/>
      <c r="N5" s="245" t="s">
        <v>629</v>
      </c>
      <c r="O5" s="276"/>
      <c r="P5" s="248" t="e">
        <f ca="1">MIN(-50+MAX((MAX(J42,0)+MMP),0),0)</f>
        <v>#N/A</v>
      </c>
      <c r="Q5" s="247"/>
      <c r="R5" s="249" t="s">
        <v>634</v>
      </c>
      <c r="S5" s="250"/>
      <c r="T5" s="183">
        <f t="shared" si="1"/>
        <v>0.33999999999999997</v>
      </c>
      <c r="U5" s="184" t="e">
        <f>(VLOOKUP(Race,Table_Race,IF(Front!$H$5="Male",24,25),FALSE))*T5</f>
        <v>#N/A</v>
      </c>
      <c r="V5" s="1">
        <v>-3</v>
      </c>
      <c r="W5" s="200"/>
      <c r="X5" s="188">
        <f t="shared" si="0"/>
        <v>0.72</v>
      </c>
      <c r="Y5" s="184" t="e">
        <f>(VLOOKUP(Race,Table_Race,IF(Front!$H$5="Male",24,25),FALSE))*X5</f>
        <v>#N/A</v>
      </c>
      <c r="Z5" s="1">
        <v>-41</v>
      </c>
      <c r="AA5" s="203"/>
    </row>
    <row r="6" spans="1:27" x14ac:dyDescent="0.25">
      <c r="A6" s="210"/>
      <c r="B6" s="226"/>
      <c r="C6" s="231"/>
      <c r="D6" s="232"/>
      <c r="E6" s="233"/>
      <c r="F6" s="234" t="s">
        <v>539</v>
      </c>
      <c r="G6" s="165">
        <f>Skills!AC45</f>
        <v>0</v>
      </c>
      <c r="H6" s="218" t="s">
        <v>540</v>
      </c>
      <c r="I6" s="219"/>
      <c r="J6" s="226"/>
      <c r="K6" s="67" t="s">
        <v>38</v>
      </c>
      <c r="L6" s="245" t="e">
        <f>3*BMR</f>
        <v>#N/A</v>
      </c>
      <c r="M6" s="245"/>
      <c r="N6" s="245" t="s">
        <v>630</v>
      </c>
      <c r="O6" s="245"/>
      <c r="P6" s="248" t="e">
        <f ca="1">MIN(-75+MAX((MAX(J42,0)+MMP),0),0)</f>
        <v>#N/A</v>
      </c>
      <c r="Q6" s="247"/>
      <c r="R6" s="249" t="s">
        <v>634</v>
      </c>
      <c r="S6" s="250"/>
      <c r="T6" s="183">
        <f t="shared" si="1"/>
        <v>0.35</v>
      </c>
      <c r="U6" s="184" t="e">
        <f>(VLOOKUP(Race,Table_Race,IF(Front!$H$5="Male",24,25),FALSE))*T6</f>
        <v>#N/A</v>
      </c>
      <c r="V6" s="1">
        <v>-4</v>
      </c>
      <c r="W6" s="200"/>
      <c r="X6" s="188">
        <f t="shared" si="0"/>
        <v>0.73</v>
      </c>
      <c r="Y6" s="184" t="e">
        <f>(VLOOKUP(Race,Table_Race,IF(Front!$H$5="Male",24,25),FALSE))*X6</f>
        <v>#N/A</v>
      </c>
      <c r="Z6" s="1">
        <v>-42</v>
      </c>
      <c r="AA6" s="203"/>
    </row>
    <row r="7" spans="1:27" x14ac:dyDescent="0.25">
      <c r="A7" s="210"/>
      <c r="B7" s="226"/>
      <c r="C7" s="259" t="str">
        <f>"+"&amp;Front!I31&amp;CHAR(10)
&amp;Front!Q31&amp;" uses"</f>
        <v>+0
0 uses</v>
      </c>
      <c r="D7" s="257"/>
      <c r="E7" s="255"/>
      <c r="F7" s="235"/>
      <c r="G7" s="140">
        <f ca="1">ROUND(0.5*Skills!AI45,0)</f>
        <v>-5</v>
      </c>
      <c r="H7" s="220" t="s">
        <v>541</v>
      </c>
      <c r="I7" s="221"/>
      <c r="J7" s="226"/>
      <c r="K7" s="67" t="s">
        <v>39</v>
      </c>
      <c r="L7" s="245" t="e">
        <f>4*BMR</f>
        <v>#N/A</v>
      </c>
      <c r="M7" s="245"/>
      <c r="N7" s="245" t="s">
        <v>51</v>
      </c>
      <c r="O7" s="245"/>
      <c r="P7" s="246" t="s">
        <v>109</v>
      </c>
      <c r="Q7" s="247"/>
      <c r="R7" s="249" t="s">
        <v>635</v>
      </c>
      <c r="S7" s="250"/>
      <c r="T7" s="183">
        <f t="shared" si="1"/>
        <v>0.36</v>
      </c>
      <c r="U7" s="184" t="e">
        <f>(VLOOKUP(Race,Table_Race,IF(Front!$H$5="Male",24,25),FALSE))*T7</f>
        <v>#N/A</v>
      </c>
      <c r="V7" s="1">
        <v>-5</v>
      </c>
      <c r="W7" s="200"/>
      <c r="X7" s="188">
        <f t="shared" si="0"/>
        <v>0.74</v>
      </c>
      <c r="Y7" s="184" t="e">
        <f>(VLOOKUP(Race,Table_Race,IF(Front!$H$5="Male",24,25),FALSE))*X7</f>
        <v>#N/A</v>
      </c>
      <c r="Z7" s="1">
        <v>-43</v>
      </c>
      <c r="AA7" s="203"/>
    </row>
    <row r="8" spans="1:27" ht="15.75" thickBot="1" x14ac:dyDescent="0.3">
      <c r="A8" s="210"/>
      <c r="B8" s="227"/>
      <c r="C8" s="260"/>
      <c r="D8" s="258"/>
      <c r="E8" s="256"/>
      <c r="F8" s="236"/>
      <c r="G8" s="141">
        <f ca="1">ROUND(Skills!AI45,0)</f>
        <v>-9</v>
      </c>
      <c r="H8" s="222" t="s">
        <v>503</v>
      </c>
      <c r="I8" s="223"/>
      <c r="J8" s="227"/>
      <c r="K8" s="67" t="s">
        <v>40</v>
      </c>
      <c r="L8" s="261" t="e">
        <f>5*BMR</f>
        <v>#N/A</v>
      </c>
      <c r="M8" s="261"/>
      <c r="N8" s="261" t="s">
        <v>52</v>
      </c>
      <c r="O8" s="261"/>
      <c r="P8" s="246" t="s">
        <v>109</v>
      </c>
      <c r="Q8" s="247"/>
      <c r="R8" s="262" t="s">
        <v>109</v>
      </c>
      <c r="S8" s="263"/>
      <c r="T8" s="183">
        <f t="shared" si="1"/>
        <v>0.37</v>
      </c>
      <c r="U8" s="184" t="e">
        <f>(VLOOKUP(Race,Table_Race,IF(Front!$H$5="Male",24,25),FALSE))*T8</f>
        <v>#N/A</v>
      </c>
      <c r="V8" s="1">
        <v>-6</v>
      </c>
      <c r="W8" s="200"/>
      <c r="X8" s="188">
        <f t="shared" si="0"/>
        <v>0.75</v>
      </c>
      <c r="Y8" s="184" t="e">
        <f>(VLOOKUP(Race,Table_Race,IF(Front!$H$5="Male",24,25),FALSE))*X8</f>
        <v>#N/A</v>
      </c>
      <c r="Z8" s="1">
        <v>-44</v>
      </c>
      <c r="AA8" s="203"/>
    </row>
    <row r="9" spans="1:27" ht="15.75" thickBot="1" x14ac:dyDescent="0.3">
      <c r="A9" s="210"/>
      <c r="B9" s="225" t="s">
        <v>536</v>
      </c>
      <c r="C9" s="241" t="s">
        <v>430</v>
      </c>
      <c r="D9" s="241"/>
      <c r="E9" s="241"/>
      <c r="F9" s="241"/>
      <c r="G9" s="241"/>
      <c r="H9" s="153" t="s">
        <v>434</v>
      </c>
      <c r="I9" s="153" t="s">
        <v>431</v>
      </c>
      <c r="J9" s="153" t="s">
        <v>89</v>
      </c>
      <c r="K9" s="153" t="s">
        <v>432</v>
      </c>
      <c r="L9" s="153" t="s">
        <v>435</v>
      </c>
      <c r="M9" s="153">
        <v>-10</v>
      </c>
      <c r="N9" s="153">
        <v>-25</v>
      </c>
      <c r="O9" s="153">
        <v>-50</v>
      </c>
      <c r="P9" s="153">
        <v>-100</v>
      </c>
      <c r="Q9" s="153" t="s">
        <v>32</v>
      </c>
      <c r="R9" s="241" t="s">
        <v>433</v>
      </c>
      <c r="S9" s="243"/>
      <c r="T9" s="183">
        <f t="shared" si="1"/>
        <v>0.38</v>
      </c>
      <c r="U9" s="184" t="e">
        <f>(VLOOKUP(Race,Table_Race,IF(Front!$H$5="Male",24,25),FALSE))*T9</f>
        <v>#N/A</v>
      </c>
      <c r="V9" s="1">
        <v>-7</v>
      </c>
      <c r="W9" s="200"/>
      <c r="X9" s="189">
        <f t="shared" si="0"/>
        <v>0.76</v>
      </c>
      <c r="Y9" s="186" t="e">
        <f>(VLOOKUP(Race,Table_Race,IF(Front!$H$5="Male",24,25),FALSE))*X9</f>
        <v>#N/A</v>
      </c>
      <c r="Z9" s="43">
        <v>-45</v>
      </c>
      <c r="AA9" s="204"/>
    </row>
    <row r="10" spans="1:27" x14ac:dyDescent="0.25">
      <c r="A10" s="210"/>
      <c r="B10" s="226"/>
      <c r="C10" s="242"/>
      <c r="D10" s="242"/>
      <c r="E10" s="242"/>
      <c r="F10" s="242"/>
      <c r="G10" s="242"/>
      <c r="H10" s="3"/>
      <c r="I10" s="3"/>
      <c r="J10" s="29"/>
      <c r="K10" s="197"/>
      <c r="L10" s="3"/>
      <c r="M10" s="3"/>
      <c r="N10" s="3"/>
      <c r="O10" s="3"/>
      <c r="P10" s="3"/>
      <c r="Q10" s="3"/>
      <c r="R10" s="242"/>
      <c r="S10" s="244"/>
      <c r="T10" s="183">
        <f t="shared" si="1"/>
        <v>0.39</v>
      </c>
      <c r="U10" s="184" t="e">
        <f>(VLOOKUP(Race,Table_Race,IF(Front!$H$5="Male",24,25),FALSE))*T10</f>
        <v>#N/A</v>
      </c>
      <c r="V10" s="1">
        <v>-8</v>
      </c>
      <c r="W10" s="200"/>
      <c r="X10" s="187">
        <f t="shared" si="0"/>
        <v>0.77</v>
      </c>
      <c r="Y10" s="182" t="e">
        <f>(VLOOKUP(Race,Table_Race,IF(Front!$H$5="Male",24,25),FALSE))*X10</f>
        <v>#N/A</v>
      </c>
      <c r="Z10" s="177">
        <v>-46</v>
      </c>
      <c r="AA10" s="202" t="s">
        <v>625</v>
      </c>
    </row>
    <row r="11" spans="1:27" x14ac:dyDescent="0.25">
      <c r="A11" s="210"/>
      <c r="B11" s="226"/>
      <c r="C11" s="242"/>
      <c r="D11" s="242"/>
      <c r="E11" s="242"/>
      <c r="F11" s="242"/>
      <c r="G11" s="242"/>
      <c r="H11" s="3"/>
      <c r="I11" s="3"/>
      <c r="J11" s="29"/>
      <c r="K11" s="197"/>
      <c r="L11" s="3"/>
      <c r="M11" s="3"/>
      <c r="N11" s="3"/>
      <c r="O11" s="3"/>
      <c r="P11" s="3"/>
      <c r="Q11" s="3"/>
      <c r="R11" s="242"/>
      <c r="S11" s="244"/>
      <c r="T11" s="183">
        <f t="shared" si="1"/>
        <v>0.4</v>
      </c>
      <c r="U11" s="184" t="e">
        <f>(VLOOKUP(Race,Table_Race,IF(Front!$H$5="Male",24,25),FALSE))*T11</f>
        <v>#N/A</v>
      </c>
      <c r="V11" s="1">
        <v>-9</v>
      </c>
      <c r="W11" s="200"/>
      <c r="X11" s="188">
        <f t="shared" si="0"/>
        <v>0.78</v>
      </c>
      <c r="Y11" s="184" t="e">
        <f>(VLOOKUP(Race,Table_Race,IF(Front!$H$5="Male",24,25),FALSE))*X11</f>
        <v>#N/A</v>
      </c>
      <c r="Z11" s="1">
        <v>-47</v>
      </c>
      <c r="AA11" s="203"/>
    </row>
    <row r="12" spans="1:27" x14ac:dyDescent="0.25">
      <c r="A12" s="210"/>
      <c r="B12" s="226"/>
      <c r="C12" s="242"/>
      <c r="D12" s="242"/>
      <c r="E12" s="242"/>
      <c r="F12" s="242"/>
      <c r="G12" s="242"/>
      <c r="H12" s="3"/>
      <c r="I12" s="3"/>
      <c r="J12" s="29"/>
      <c r="K12" s="197"/>
      <c r="L12" s="3"/>
      <c r="M12" s="3"/>
      <c r="N12" s="3"/>
      <c r="O12" s="3"/>
      <c r="P12" s="3"/>
      <c r="Q12" s="3"/>
      <c r="R12" s="242"/>
      <c r="S12" s="244"/>
      <c r="T12" s="183">
        <f t="shared" si="1"/>
        <v>0.41000000000000003</v>
      </c>
      <c r="U12" s="184" t="e">
        <f>(VLOOKUP(Race,Table_Race,IF(Front!$H$5="Male",24,25),FALSE))*T12</f>
        <v>#N/A</v>
      </c>
      <c r="V12" s="1">
        <v>-10</v>
      </c>
      <c r="W12" s="200"/>
      <c r="X12" s="188">
        <f t="shared" si="0"/>
        <v>0.79</v>
      </c>
      <c r="Y12" s="184" t="e">
        <f>(VLOOKUP(Race,Table_Race,IF(Front!$H$5="Male",24,25),FALSE))*X12</f>
        <v>#N/A</v>
      </c>
      <c r="Z12" s="1">
        <v>-48</v>
      </c>
      <c r="AA12" s="203"/>
    </row>
    <row r="13" spans="1:27" x14ac:dyDescent="0.25">
      <c r="A13" s="210"/>
      <c r="B13" s="226"/>
      <c r="C13" s="242"/>
      <c r="D13" s="242"/>
      <c r="E13" s="242"/>
      <c r="F13" s="242"/>
      <c r="G13" s="242"/>
      <c r="H13" s="3"/>
      <c r="I13" s="3"/>
      <c r="J13" s="29"/>
      <c r="K13" s="197"/>
      <c r="L13" s="3"/>
      <c r="M13" s="3"/>
      <c r="N13" s="3"/>
      <c r="O13" s="3"/>
      <c r="P13" s="3"/>
      <c r="Q13" s="3"/>
      <c r="R13" s="242"/>
      <c r="S13" s="244"/>
      <c r="T13" s="183">
        <f t="shared" si="1"/>
        <v>0.42</v>
      </c>
      <c r="U13" s="184" t="e">
        <f>(VLOOKUP(Race,Table_Race,IF(Front!$H$5="Male",24,25),FALSE))*T13</f>
        <v>#N/A</v>
      </c>
      <c r="V13" s="1">
        <v>-11</v>
      </c>
      <c r="W13" s="200"/>
      <c r="X13" s="188">
        <f t="shared" si="0"/>
        <v>0.8</v>
      </c>
      <c r="Y13" s="184" t="e">
        <f>(VLOOKUP(Race,Table_Race,IF(Front!$H$5="Male",24,25),FALSE))*X13</f>
        <v>#N/A</v>
      </c>
      <c r="Z13" s="1">
        <v>-49</v>
      </c>
      <c r="AA13" s="203"/>
    </row>
    <row r="14" spans="1:27" x14ac:dyDescent="0.25">
      <c r="A14" s="210"/>
      <c r="B14" s="226"/>
      <c r="C14" s="242"/>
      <c r="D14" s="242"/>
      <c r="E14" s="242"/>
      <c r="F14" s="242"/>
      <c r="G14" s="242"/>
      <c r="H14" s="3"/>
      <c r="I14" s="3"/>
      <c r="J14" s="29"/>
      <c r="K14" s="197"/>
      <c r="L14" s="3"/>
      <c r="M14" s="3"/>
      <c r="N14" s="3"/>
      <c r="O14" s="3"/>
      <c r="P14" s="3"/>
      <c r="Q14" s="3"/>
      <c r="R14" s="242"/>
      <c r="S14" s="244"/>
      <c r="T14" s="183">
        <f t="shared" si="1"/>
        <v>0.43</v>
      </c>
      <c r="U14" s="184" t="e">
        <f>(VLOOKUP(Race,Table_Race,IF(Front!$H$5="Male",24,25),FALSE))*T14</f>
        <v>#N/A</v>
      </c>
      <c r="V14" s="1">
        <v>-12</v>
      </c>
      <c r="W14" s="200"/>
      <c r="X14" s="188">
        <f t="shared" si="0"/>
        <v>0.81</v>
      </c>
      <c r="Y14" s="184" t="e">
        <f>(VLOOKUP(Race,Table_Race,IF(Front!$H$5="Male",24,25),FALSE))*X14</f>
        <v>#N/A</v>
      </c>
      <c r="Z14" s="1">
        <v>-50</v>
      </c>
      <c r="AA14" s="203"/>
    </row>
    <row r="15" spans="1:27" ht="15.75" thickBot="1" x14ac:dyDescent="0.3">
      <c r="A15" s="210"/>
      <c r="B15" s="227"/>
      <c r="C15" s="239"/>
      <c r="D15" s="239"/>
      <c r="E15" s="239"/>
      <c r="F15" s="239"/>
      <c r="G15" s="239"/>
      <c r="H15" s="26"/>
      <c r="I15" s="26"/>
      <c r="J15" s="28"/>
      <c r="K15" s="198"/>
      <c r="L15" s="26"/>
      <c r="M15" s="26"/>
      <c r="N15" s="26"/>
      <c r="O15" s="26"/>
      <c r="P15" s="26"/>
      <c r="Q15" s="26"/>
      <c r="R15" s="239"/>
      <c r="S15" s="240"/>
      <c r="T15" s="183">
        <f t="shared" si="1"/>
        <v>0.44</v>
      </c>
      <c r="U15" s="184" t="e">
        <f>(VLOOKUP(Race,Table_Race,IF(Front!$H$5="Male",24,25),FALSE))*T15</f>
        <v>#N/A</v>
      </c>
      <c r="V15" s="1">
        <v>-13</v>
      </c>
      <c r="W15" s="200"/>
      <c r="X15" s="188">
        <f t="shared" si="0"/>
        <v>0.82000000000000006</v>
      </c>
      <c r="Y15" s="184" t="e">
        <f>(VLOOKUP(Race,Table_Race,IF(Front!$H$5="Male",24,25),FALSE))*X15</f>
        <v>#N/A</v>
      </c>
      <c r="Z15" s="1">
        <v>-51</v>
      </c>
      <c r="AA15" s="203"/>
    </row>
    <row r="16" spans="1:27" x14ac:dyDescent="0.25">
      <c r="A16" s="210"/>
      <c r="B16" s="251" t="s">
        <v>56</v>
      </c>
      <c r="C16" s="237"/>
      <c r="D16" s="238"/>
      <c r="E16" s="251" t="s">
        <v>637</v>
      </c>
      <c r="F16" s="237"/>
      <c r="G16" s="238"/>
      <c r="H16" s="251" t="s">
        <v>57</v>
      </c>
      <c r="I16" s="237"/>
      <c r="J16" s="238"/>
      <c r="K16" s="251" t="s">
        <v>565</v>
      </c>
      <c r="L16" s="237"/>
      <c r="M16" s="237"/>
      <c r="N16" s="237"/>
      <c r="O16" s="237"/>
      <c r="P16" s="237"/>
      <c r="Q16" s="237"/>
      <c r="R16" s="237"/>
      <c r="S16" s="238"/>
      <c r="T16" s="183">
        <f t="shared" si="1"/>
        <v>0.45</v>
      </c>
      <c r="U16" s="184" t="e">
        <f>(VLOOKUP(Race,Table_Race,IF(Front!$H$5="Male",24,25),FALSE))*T16</f>
        <v>#N/A</v>
      </c>
      <c r="V16" s="1">
        <v>-14</v>
      </c>
      <c r="W16" s="200"/>
      <c r="X16" s="188">
        <f t="shared" si="0"/>
        <v>0.83000000000000007</v>
      </c>
      <c r="Y16" s="184" t="e">
        <f>(VLOOKUP(Race,Table_Race,IF(Front!$H$5="Male",24,25),FALSE))*X16</f>
        <v>#N/A</v>
      </c>
      <c r="Z16" s="1">
        <v>-52</v>
      </c>
      <c r="AA16" s="203"/>
    </row>
    <row r="17" spans="1:27" ht="15.75" thickBot="1" x14ac:dyDescent="0.3">
      <c r="A17" s="210"/>
      <c r="B17" s="16" t="s">
        <v>58</v>
      </c>
      <c r="C17" s="252" t="e">
        <f>MAX(ROUND(Body_Development*IF(Size="Small",0.75,IF(Size="Big",1.5,1))+VLOOKUP(Race,Table_Race,18,FALSE),0),10)</f>
        <v>#N/A</v>
      </c>
      <c r="D17" s="253"/>
      <c r="E17" s="16" t="s">
        <v>58</v>
      </c>
      <c r="F17" s="252">
        <f ca="1">MAX(ROUND(Power_Development,0),0)</f>
        <v>0</v>
      </c>
      <c r="G17" s="253"/>
      <c r="H17" s="16" t="s">
        <v>304</v>
      </c>
      <c r="I17" s="254" t="e">
        <f>Front!C11+Body_Development</f>
        <v>#N/A</v>
      </c>
      <c r="J17" s="253"/>
      <c r="K17" s="267" t="s">
        <v>545</v>
      </c>
      <c r="L17" s="268"/>
      <c r="M17" s="268"/>
      <c r="N17" s="269" t="s">
        <v>546</v>
      </c>
      <c r="O17" s="269"/>
      <c r="P17" s="269"/>
      <c r="Q17" s="269"/>
      <c r="R17" s="269"/>
      <c r="S17" s="270"/>
      <c r="T17" s="185">
        <f t="shared" si="1"/>
        <v>0.45999999999999996</v>
      </c>
      <c r="U17" s="186" t="e">
        <f>(VLOOKUP(Race,Table_Race,IF(Front!$H$5="Male",24,25),FALSE))*T17</f>
        <v>#N/A</v>
      </c>
      <c r="V17" s="43">
        <v>-15</v>
      </c>
      <c r="W17" s="201"/>
      <c r="X17" s="188">
        <f t="shared" si="0"/>
        <v>0.84000000000000008</v>
      </c>
      <c r="Y17" s="184" t="e">
        <f>(VLOOKUP(Race,Table_Race,IF(Front!$H$5="Male",24,25),FALSE))*X17</f>
        <v>#N/A</v>
      </c>
      <c r="Z17" s="1">
        <v>-53</v>
      </c>
      <c r="AA17" s="203"/>
    </row>
    <row r="18" spans="1:27" x14ac:dyDescent="0.25">
      <c r="A18" s="210"/>
      <c r="B18" s="17" t="s">
        <v>58</v>
      </c>
      <c r="C18" s="6" t="s">
        <v>80</v>
      </c>
      <c r="D18" s="8" t="s">
        <v>81</v>
      </c>
      <c r="E18" s="17" t="s">
        <v>58</v>
      </c>
      <c r="F18" s="6" t="s">
        <v>80</v>
      </c>
      <c r="G18" s="8" t="s">
        <v>81</v>
      </c>
      <c r="H18" s="264" t="s">
        <v>544</v>
      </c>
      <c r="I18" s="265"/>
      <c r="J18" s="266"/>
      <c r="K18" s="267" t="s">
        <v>547</v>
      </c>
      <c r="L18" s="268"/>
      <c r="M18" s="268"/>
      <c r="N18" s="269" t="s">
        <v>548</v>
      </c>
      <c r="O18" s="269"/>
      <c r="P18" s="269"/>
      <c r="Q18" s="269"/>
      <c r="R18" s="269"/>
      <c r="S18" s="270"/>
      <c r="T18" s="181">
        <f t="shared" si="1"/>
        <v>0.47</v>
      </c>
      <c r="U18" s="182" t="e">
        <f>(VLOOKUP(Race,Table_Race,IF(Front!$H$5="Male",24,25),FALSE))*T18</f>
        <v>#N/A</v>
      </c>
      <c r="V18" s="177">
        <v>-16</v>
      </c>
      <c r="W18" s="199" t="s">
        <v>623</v>
      </c>
      <c r="X18" s="188">
        <f t="shared" si="0"/>
        <v>0.85000000000000009</v>
      </c>
      <c r="Y18" s="184" t="e">
        <f>(VLOOKUP(Race,Table_Race,IF(Front!$H$5="Male",24,25),FALSE))*X18</f>
        <v>#N/A</v>
      </c>
      <c r="Z18" s="1">
        <v>-54</v>
      </c>
      <c r="AA18" s="203"/>
    </row>
    <row r="19" spans="1:27" x14ac:dyDescent="0.25">
      <c r="A19" s="210"/>
      <c r="B19" s="17" t="e">
        <f>HP</f>
        <v>#N/A</v>
      </c>
      <c r="C19" s="6" t="e">
        <f>ROUND(HP*0.75,0)</f>
        <v>#N/A</v>
      </c>
      <c r="D19" s="21">
        <v>0</v>
      </c>
      <c r="E19" s="17">
        <f ca="1">Power</f>
        <v>0</v>
      </c>
      <c r="F19" s="6">
        <f ca="1">ROUND(Power*0.75,0)</f>
        <v>0</v>
      </c>
      <c r="G19" s="21">
        <v>0</v>
      </c>
      <c r="H19" s="11"/>
      <c r="I19" s="3"/>
      <c r="J19" s="21">
        <v>-10</v>
      </c>
      <c r="K19" s="267" t="s">
        <v>549</v>
      </c>
      <c r="L19" s="268"/>
      <c r="M19" s="268"/>
      <c r="N19" s="269" t="s">
        <v>550</v>
      </c>
      <c r="O19" s="269"/>
      <c r="P19" s="269"/>
      <c r="Q19" s="269"/>
      <c r="R19" s="269"/>
      <c r="S19" s="270"/>
      <c r="T19" s="183">
        <f t="shared" si="1"/>
        <v>0.48</v>
      </c>
      <c r="U19" s="184" t="e">
        <f>(VLOOKUP(Race,Table_Race,IF(Front!$H$5="Male",24,25),FALSE))*T19</f>
        <v>#N/A</v>
      </c>
      <c r="V19" s="1">
        <v>-17</v>
      </c>
      <c r="W19" s="200"/>
      <c r="X19" s="188">
        <f t="shared" si="0"/>
        <v>0.8600000000000001</v>
      </c>
      <c r="Y19" s="184" t="e">
        <f>(VLOOKUP(Race,Table_Race,IF(Front!$H$5="Male",24,25),FALSE))*X19</f>
        <v>#N/A</v>
      </c>
      <c r="Z19" s="1">
        <v>-55</v>
      </c>
      <c r="AA19" s="203"/>
    </row>
    <row r="20" spans="1:27" x14ac:dyDescent="0.25">
      <c r="A20" s="210"/>
      <c r="B20" s="17" t="e">
        <f>C19-1</f>
        <v>#N/A</v>
      </c>
      <c r="C20" s="6" t="e">
        <f>ROUND(HP*0.5,0)</f>
        <v>#N/A</v>
      </c>
      <c r="D20" s="21">
        <v>-10</v>
      </c>
      <c r="E20" s="17">
        <f ca="1">MAX(F19-1,0)</f>
        <v>0</v>
      </c>
      <c r="F20" s="6">
        <f ca="1">ROUND(Power*0.5,0)</f>
        <v>0</v>
      </c>
      <c r="G20" s="21">
        <v>-10</v>
      </c>
      <c r="H20" s="11"/>
      <c r="I20" s="3"/>
      <c r="J20" s="21">
        <v>-20</v>
      </c>
      <c r="K20" s="267" t="s">
        <v>551</v>
      </c>
      <c r="L20" s="268"/>
      <c r="M20" s="268"/>
      <c r="N20" s="269" t="s">
        <v>552</v>
      </c>
      <c r="O20" s="269"/>
      <c r="P20" s="269"/>
      <c r="Q20" s="269"/>
      <c r="R20" s="269"/>
      <c r="S20" s="270"/>
      <c r="T20" s="183">
        <f t="shared" si="1"/>
        <v>0.49</v>
      </c>
      <c r="U20" s="184" t="e">
        <f>(VLOOKUP(Race,Table_Race,IF(Front!$H$5="Male",24,25),FALSE))*T20</f>
        <v>#N/A</v>
      </c>
      <c r="V20" s="1">
        <v>-18</v>
      </c>
      <c r="W20" s="200"/>
      <c r="X20" s="188">
        <f t="shared" si="0"/>
        <v>0.87000000000000011</v>
      </c>
      <c r="Y20" s="184" t="e">
        <f>(VLOOKUP(Race,Table_Race,IF(Front!$H$5="Male",24,25),FALSE))*X20</f>
        <v>#N/A</v>
      </c>
      <c r="Z20" s="1">
        <v>-56</v>
      </c>
      <c r="AA20" s="203"/>
    </row>
    <row r="21" spans="1:27" x14ac:dyDescent="0.25">
      <c r="A21" s="210"/>
      <c r="B21" s="17" t="e">
        <f>C20-1</f>
        <v>#N/A</v>
      </c>
      <c r="C21" s="6" t="e">
        <f>ROUND(HP*0.25,0)</f>
        <v>#N/A</v>
      </c>
      <c r="D21" s="21">
        <v>-20</v>
      </c>
      <c r="E21" s="17">
        <f ca="1">MAX(F20-1,0)</f>
        <v>0</v>
      </c>
      <c r="F21" s="6">
        <f ca="1">ROUND(Power*0.25,0)</f>
        <v>0</v>
      </c>
      <c r="G21" s="21">
        <v>-20</v>
      </c>
      <c r="H21" s="11"/>
      <c r="I21" s="3"/>
      <c r="J21" s="21">
        <v>-30</v>
      </c>
      <c r="K21" s="267" t="s">
        <v>553</v>
      </c>
      <c r="L21" s="268"/>
      <c r="M21" s="268"/>
      <c r="N21" s="269" t="s">
        <v>554</v>
      </c>
      <c r="O21" s="269"/>
      <c r="P21" s="269"/>
      <c r="Q21" s="269"/>
      <c r="R21" s="269"/>
      <c r="S21" s="270"/>
      <c r="T21" s="183">
        <f t="shared" si="1"/>
        <v>0.5</v>
      </c>
      <c r="U21" s="184" t="e">
        <f>(VLOOKUP(Race,Table_Race,IF(Front!$H$5="Male",24,25),FALSE))*T21</f>
        <v>#N/A</v>
      </c>
      <c r="V21" s="1">
        <v>-19</v>
      </c>
      <c r="W21" s="200"/>
      <c r="X21" s="188">
        <f t="shared" si="0"/>
        <v>0.87999999999999989</v>
      </c>
      <c r="Y21" s="184" t="e">
        <f>(VLOOKUP(Race,Table_Race,IF(Front!$H$5="Male",24,25),FALSE))*X21</f>
        <v>#N/A</v>
      </c>
      <c r="Z21" s="1">
        <v>-57</v>
      </c>
      <c r="AA21" s="203"/>
    </row>
    <row r="22" spans="1:27" ht="15.75" thickBot="1" x14ac:dyDescent="0.3">
      <c r="A22" s="210"/>
      <c r="B22" s="150" t="e">
        <f>C21-1</f>
        <v>#N/A</v>
      </c>
      <c r="C22" s="151">
        <v>0</v>
      </c>
      <c r="D22" s="152">
        <v>-30</v>
      </c>
      <c r="E22" s="146">
        <f ca="1">MAX(F21-1,0)</f>
        <v>0</v>
      </c>
      <c r="F22" s="147">
        <v>0</v>
      </c>
      <c r="G22" s="24">
        <v>-30</v>
      </c>
      <c r="H22" s="11"/>
      <c r="I22" s="3"/>
      <c r="J22" s="21">
        <v>-40</v>
      </c>
      <c r="K22" s="267" t="s">
        <v>555</v>
      </c>
      <c r="L22" s="268"/>
      <c r="M22" s="268"/>
      <c r="N22" s="269" t="s">
        <v>557</v>
      </c>
      <c r="O22" s="269"/>
      <c r="P22" s="269"/>
      <c r="Q22" s="269"/>
      <c r="R22" s="269"/>
      <c r="S22" s="270"/>
      <c r="T22" s="183">
        <f t="shared" si="1"/>
        <v>0.51</v>
      </c>
      <c r="U22" s="184" t="e">
        <f>(VLOOKUP(Race,Table_Race,IF(Front!$H$5="Male",24,25),FALSE))*T22</f>
        <v>#N/A</v>
      </c>
      <c r="V22" s="1">
        <v>-20</v>
      </c>
      <c r="W22" s="200"/>
      <c r="X22" s="188">
        <f t="shared" si="0"/>
        <v>0.8899999999999999</v>
      </c>
      <c r="Y22" s="184" t="e">
        <f>(VLOOKUP(Race,Table_Race,IF(Front!$H$5="Male",24,25),FALSE))*X22</f>
        <v>#N/A</v>
      </c>
      <c r="Z22" s="1">
        <v>-58</v>
      </c>
      <c r="AA22" s="203"/>
    </row>
    <row r="23" spans="1:27" ht="15.75" thickTop="1" x14ac:dyDescent="0.25">
      <c r="A23" s="210"/>
      <c r="B23" s="148">
        <f>C22-1</f>
        <v>-1</v>
      </c>
      <c r="C23" s="149" t="e">
        <f>MIN(-(Body_Development-1),0)</f>
        <v>#N/A</v>
      </c>
      <c r="D23" s="281" t="s">
        <v>543</v>
      </c>
      <c r="E23" s="282"/>
      <c r="F23" s="282"/>
      <c r="G23" s="282"/>
      <c r="H23" s="11"/>
      <c r="I23" s="3"/>
      <c r="J23" s="21">
        <v>-50</v>
      </c>
      <c r="K23" s="267" t="s">
        <v>556</v>
      </c>
      <c r="L23" s="268"/>
      <c r="M23" s="268"/>
      <c r="N23" s="269" t="s">
        <v>558</v>
      </c>
      <c r="O23" s="269"/>
      <c r="P23" s="269"/>
      <c r="Q23" s="269"/>
      <c r="R23" s="269"/>
      <c r="S23" s="270"/>
      <c r="T23" s="183">
        <f t="shared" si="1"/>
        <v>0.52</v>
      </c>
      <c r="U23" s="184" t="e">
        <f>(VLOOKUP(Race,Table_Race,IF(Front!$H$5="Male",24,25),FALSE))*T23</f>
        <v>#N/A</v>
      </c>
      <c r="V23" s="1">
        <v>-21</v>
      </c>
      <c r="W23" s="200"/>
      <c r="X23" s="188">
        <f t="shared" si="0"/>
        <v>0.89999999999999991</v>
      </c>
      <c r="Y23" s="184" t="e">
        <f>(VLOOKUP(Race,Table_Race,IF(Front!$H$5="Male",24,25),FALSE))*X23</f>
        <v>#N/A</v>
      </c>
      <c r="Z23" s="1">
        <v>-59</v>
      </c>
      <c r="AA23" s="203"/>
    </row>
    <row r="24" spans="1:27" ht="15.75" thickBot="1" x14ac:dyDescent="0.3">
      <c r="A24" s="210"/>
      <c r="B24" s="279" t="e">
        <f>MIN(-(Body_Development),0)</f>
        <v>#N/A</v>
      </c>
      <c r="C24" s="280"/>
      <c r="D24" s="283" t="s">
        <v>542</v>
      </c>
      <c r="E24" s="284"/>
      <c r="F24" s="284"/>
      <c r="G24" s="285"/>
      <c r="H24" s="11"/>
      <c r="I24" s="3"/>
      <c r="J24" s="145">
        <v>-10</v>
      </c>
      <c r="K24" s="267" t="s">
        <v>559</v>
      </c>
      <c r="L24" s="268"/>
      <c r="M24" s="268"/>
      <c r="N24" s="269" t="s">
        <v>560</v>
      </c>
      <c r="O24" s="269"/>
      <c r="P24" s="269"/>
      <c r="Q24" s="269"/>
      <c r="R24" s="269"/>
      <c r="S24" s="270"/>
      <c r="T24" s="183">
        <f t="shared" si="1"/>
        <v>0.53</v>
      </c>
      <c r="U24" s="184" t="e">
        <f>(VLOOKUP(Race,Table_Race,IF(Front!$H$5="Male",24,25),FALSE))*T24</f>
        <v>#N/A</v>
      </c>
      <c r="V24" s="1">
        <v>-22</v>
      </c>
      <c r="W24" s="200"/>
      <c r="X24" s="188">
        <f t="shared" si="0"/>
        <v>0.90999999999999992</v>
      </c>
      <c r="Y24" s="184" t="e">
        <f>(VLOOKUP(Race,Table_Race,IF(Front!$H$5="Male",24,25),FALSE))*X24</f>
        <v>#N/A</v>
      </c>
      <c r="Z24" s="1">
        <v>-60</v>
      </c>
      <c r="AA24" s="203"/>
    </row>
    <row r="25" spans="1:27" x14ac:dyDescent="0.25">
      <c r="A25" s="210"/>
      <c r="B25" s="288" t="s">
        <v>46</v>
      </c>
      <c r="C25" s="271"/>
      <c r="D25" s="273"/>
      <c r="E25" s="288" t="s">
        <v>632</v>
      </c>
      <c r="F25" s="271"/>
      <c r="G25" s="273"/>
      <c r="H25" s="11"/>
      <c r="I25" s="3"/>
      <c r="J25" s="145">
        <v>-20</v>
      </c>
      <c r="K25" s="267" t="s">
        <v>561</v>
      </c>
      <c r="L25" s="268"/>
      <c r="M25" s="268"/>
      <c r="N25" s="269" t="s">
        <v>562</v>
      </c>
      <c r="O25" s="269"/>
      <c r="P25" s="269"/>
      <c r="Q25" s="269"/>
      <c r="R25" s="269"/>
      <c r="S25" s="270"/>
      <c r="T25" s="183">
        <f t="shared" si="1"/>
        <v>0.54</v>
      </c>
      <c r="U25" s="184" t="e">
        <f>(VLOOKUP(Race,Table_Race,IF(Front!$H$5="Male",24,25),FALSE))*T25</f>
        <v>#N/A</v>
      </c>
      <c r="V25" s="1">
        <v>-23</v>
      </c>
      <c r="W25" s="200"/>
      <c r="X25" s="188">
        <f t="shared" si="0"/>
        <v>0.91999999999999993</v>
      </c>
      <c r="Y25" s="184" t="e">
        <f>(VLOOKUP(Race,Table_Race,IF(Front!$H$5="Male",24,25),FALSE))*X25</f>
        <v>#N/A</v>
      </c>
      <c r="Z25" s="1">
        <v>-61</v>
      </c>
      <c r="AA25" s="203"/>
    </row>
    <row r="26" spans="1:27" ht="15.75" thickBot="1" x14ac:dyDescent="0.3">
      <c r="A26" s="210"/>
      <c r="B26" s="289" t="str">
        <f>"2d10+"&amp;ROUND(QU,0)</f>
        <v>2d10+0</v>
      </c>
      <c r="C26" s="290"/>
      <c r="D26" s="291"/>
      <c r="E26" s="295" t="e">
        <f>MMP</f>
        <v>#N/A</v>
      </c>
      <c r="F26" s="290"/>
      <c r="G26" s="291"/>
      <c r="H26" s="11"/>
      <c r="I26" s="3"/>
      <c r="J26" s="145">
        <v>-30</v>
      </c>
      <c r="K26" s="286" t="s">
        <v>564</v>
      </c>
      <c r="L26" s="287"/>
      <c r="M26" s="287"/>
      <c r="N26" s="277" t="s">
        <v>563</v>
      </c>
      <c r="O26" s="277"/>
      <c r="P26" s="277"/>
      <c r="Q26" s="277"/>
      <c r="R26" s="277"/>
      <c r="S26" s="278"/>
      <c r="T26" s="183">
        <f t="shared" si="1"/>
        <v>0.55000000000000004</v>
      </c>
      <c r="U26" s="184" t="e">
        <f>(VLOOKUP(Race,Table_Race,IF(Front!$H$5="Male",24,25),FALSE))*T26</f>
        <v>#N/A</v>
      </c>
      <c r="V26" s="1">
        <v>-24</v>
      </c>
      <c r="W26" s="200"/>
      <c r="X26" s="188">
        <f t="shared" si="0"/>
        <v>0.92999999999999994</v>
      </c>
      <c r="Y26" s="184" t="e">
        <f>(VLOOKUP(Race,Table_Race,IF(Front!$H$5="Male",24,25),FALSE))*X26</f>
        <v>#N/A</v>
      </c>
      <c r="Z26" s="1">
        <v>-62</v>
      </c>
      <c r="AA26" s="203"/>
    </row>
    <row r="27" spans="1:27" ht="15.75" thickBot="1" x14ac:dyDescent="0.3">
      <c r="A27" s="210"/>
      <c r="B27" s="289"/>
      <c r="C27" s="290"/>
      <c r="D27" s="291"/>
      <c r="E27" s="289"/>
      <c r="F27" s="290"/>
      <c r="G27" s="291"/>
      <c r="H27" s="11"/>
      <c r="I27" s="3"/>
      <c r="J27" s="145">
        <v>-40</v>
      </c>
      <c r="K27" s="251" t="s">
        <v>566</v>
      </c>
      <c r="L27" s="237"/>
      <c r="M27" s="237"/>
      <c r="N27" s="237"/>
      <c r="O27" s="237"/>
      <c r="P27" s="237"/>
      <c r="Q27" s="237"/>
      <c r="R27" s="237"/>
      <c r="S27" s="238"/>
      <c r="T27" s="183">
        <f t="shared" si="1"/>
        <v>0.56000000000000005</v>
      </c>
      <c r="U27" s="184" t="e">
        <f>(VLOOKUP(Race,Table_Race,IF(Front!$H$5="Male",24,25),FALSE))*T27</f>
        <v>#N/A</v>
      </c>
      <c r="V27" s="1">
        <v>-25</v>
      </c>
      <c r="W27" s="200"/>
      <c r="X27" s="188">
        <f t="shared" si="0"/>
        <v>0.94</v>
      </c>
      <c r="Y27" s="184" t="e">
        <f>(VLOOKUP(Race,Table_Race,IF(Front!$H$5="Male",24,25),FALSE))*X27</f>
        <v>#N/A</v>
      </c>
      <c r="Z27" s="1">
        <v>-63</v>
      </c>
      <c r="AA27" s="203"/>
    </row>
    <row r="28" spans="1:27" ht="15.75" thickBot="1" x14ac:dyDescent="0.3">
      <c r="A28" s="210"/>
      <c r="B28" s="292"/>
      <c r="C28" s="293"/>
      <c r="D28" s="294"/>
      <c r="E28" s="292"/>
      <c r="F28" s="293"/>
      <c r="G28" s="294"/>
      <c r="H28" s="154"/>
      <c r="I28" s="155"/>
      <c r="J28" s="156">
        <v>-50</v>
      </c>
      <c r="K28" s="296" t="s">
        <v>595</v>
      </c>
      <c r="L28" s="297"/>
      <c r="M28" s="297"/>
      <c r="N28" s="217" t="s">
        <v>567</v>
      </c>
      <c r="O28" s="217"/>
      <c r="P28" s="217"/>
      <c r="Q28" s="217"/>
      <c r="R28" s="217"/>
      <c r="S28" s="224"/>
      <c r="T28" s="183">
        <f t="shared" si="1"/>
        <v>0.57000000000000006</v>
      </c>
      <c r="U28" s="184" t="e">
        <f>(VLOOKUP(Race,Table_Race,IF(Front!$H$5="Male",24,25),FALSE))*T28</f>
        <v>#N/A</v>
      </c>
      <c r="V28" s="1">
        <v>-26</v>
      </c>
      <c r="W28" s="200"/>
      <c r="X28" s="188">
        <f t="shared" si="0"/>
        <v>0.95</v>
      </c>
      <c r="Y28" s="184" t="e">
        <f>(VLOOKUP(Race,Table_Race,IF(Front!$H$5="Male",24,25),FALSE))*X28</f>
        <v>#N/A</v>
      </c>
      <c r="Z28" s="1">
        <v>-64</v>
      </c>
      <c r="AA28" s="203"/>
    </row>
    <row r="29" spans="1:27" x14ac:dyDescent="0.25">
      <c r="A29" s="210"/>
      <c r="B29" s="13" t="s">
        <v>85</v>
      </c>
      <c r="C29" s="98"/>
      <c r="D29" s="98" t="s">
        <v>304</v>
      </c>
      <c r="E29" s="98"/>
      <c r="F29" s="98"/>
      <c r="G29" s="98"/>
      <c r="H29" s="98"/>
      <c r="I29" s="98" t="s">
        <v>89</v>
      </c>
      <c r="J29" s="99" t="s">
        <v>29</v>
      </c>
      <c r="K29" s="225" t="s">
        <v>568</v>
      </c>
      <c r="L29" s="298" t="s">
        <v>596</v>
      </c>
      <c r="M29" s="298"/>
      <c r="N29" s="299" t="s">
        <v>597</v>
      </c>
      <c r="O29" s="299"/>
      <c r="P29" s="299"/>
      <c r="Q29" s="299"/>
      <c r="R29" s="299"/>
      <c r="S29" s="300"/>
      <c r="T29" s="183">
        <f t="shared" si="1"/>
        <v>0.58000000000000007</v>
      </c>
      <c r="U29" s="184" t="e">
        <f>(VLOOKUP(Race,Table_Race,IF(Front!$H$5="Male",24,25),FALSE))*T29</f>
        <v>#N/A</v>
      </c>
      <c r="V29" s="1">
        <v>-27</v>
      </c>
      <c r="W29" s="200"/>
      <c r="X29" s="188">
        <f t="shared" si="0"/>
        <v>0.96</v>
      </c>
      <c r="Y29" s="184" t="e">
        <f>(VLOOKUP(Race,Table_Race,IF(Front!$H$5="Male",24,25),FALSE))*X29</f>
        <v>#N/A</v>
      </c>
      <c r="Z29" s="1">
        <v>-65</v>
      </c>
      <c r="AA29" s="203"/>
    </row>
    <row r="30" spans="1:27" x14ac:dyDescent="0.25">
      <c r="A30" s="210"/>
      <c r="B30" s="212" t="s">
        <v>100</v>
      </c>
      <c r="C30" s="213"/>
      <c r="D30" s="214" t="s">
        <v>101</v>
      </c>
      <c r="E30" s="215"/>
      <c r="F30" s="215"/>
      <c r="G30" s="215"/>
      <c r="H30" s="213"/>
      <c r="I30" s="3" t="e">
        <f>Skills!AC10</f>
        <v>#N/A</v>
      </c>
      <c r="J30" s="163" t="e">
        <f>Skills!AI10</f>
        <v>#N/A</v>
      </c>
      <c r="K30" s="226"/>
      <c r="L30" s="269" t="s">
        <v>598</v>
      </c>
      <c r="M30" s="269"/>
      <c r="N30" s="301" t="s">
        <v>599</v>
      </c>
      <c r="O30" s="301"/>
      <c r="P30" s="301"/>
      <c r="Q30" s="301"/>
      <c r="R30" s="301"/>
      <c r="S30" s="302"/>
      <c r="T30" s="183">
        <f t="shared" si="1"/>
        <v>0.59000000000000008</v>
      </c>
      <c r="U30" s="184" t="e">
        <f>(VLOOKUP(Race,Table_Race,IF(Front!$H$5="Male",24,25),FALSE))*T30</f>
        <v>#N/A</v>
      </c>
      <c r="V30" s="1">
        <v>-28</v>
      </c>
      <c r="W30" s="200"/>
      <c r="X30" s="188">
        <f t="shared" si="0"/>
        <v>0.97</v>
      </c>
      <c r="Y30" s="184" t="e">
        <f>(VLOOKUP(Race,Table_Race,IF(Front!$H$5="Male",24,25),FALSE))*X30</f>
        <v>#N/A</v>
      </c>
      <c r="Z30" s="1">
        <v>-66</v>
      </c>
      <c r="AA30" s="203"/>
    </row>
    <row r="31" spans="1:27" x14ac:dyDescent="0.25">
      <c r="A31" s="210"/>
      <c r="B31" s="212" t="s">
        <v>104</v>
      </c>
      <c r="C31" s="213"/>
      <c r="D31" s="214" t="s">
        <v>106</v>
      </c>
      <c r="E31" s="215"/>
      <c r="F31" s="215"/>
      <c r="G31" s="215"/>
      <c r="H31" s="213"/>
      <c r="I31" s="3">
        <f>Skills!AC14</f>
        <v>0</v>
      </c>
      <c r="J31" s="163">
        <f ca="1">Skills!AI14</f>
        <v>-25</v>
      </c>
      <c r="K31" s="226"/>
      <c r="L31" s="269" t="s">
        <v>600</v>
      </c>
      <c r="M31" s="269"/>
      <c r="N31" s="301" t="s">
        <v>601</v>
      </c>
      <c r="O31" s="301"/>
      <c r="P31" s="301"/>
      <c r="Q31" s="301"/>
      <c r="R31" s="301"/>
      <c r="S31" s="302"/>
      <c r="T31" s="183">
        <f t="shared" si="1"/>
        <v>0.6</v>
      </c>
      <c r="U31" s="184" t="e">
        <f>(VLOOKUP(Race,Table_Race,IF(Front!$H$5="Male",24,25),FALSE))*T31</f>
        <v>#N/A</v>
      </c>
      <c r="V31" s="1">
        <v>-29</v>
      </c>
      <c r="W31" s="200"/>
      <c r="X31" s="188">
        <f t="shared" si="0"/>
        <v>0.98</v>
      </c>
      <c r="Y31" s="184" t="e">
        <f>(VLOOKUP(Race,Table_Race,IF(Front!$H$5="Male",24,25),FALSE))*X31</f>
        <v>#N/A</v>
      </c>
      <c r="Z31" s="1">
        <v>-67</v>
      </c>
      <c r="AA31" s="203"/>
    </row>
    <row r="32" spans="1:27" ht="15.75" thickBot="1" x14ac:dyDescent="0.3">
      <c r="A32" s="210"/>
      <c r="B32" s="212" t="s">
        <v>104</v>
      </c>
      <c r="C32" s="213"/>
      <c r="D32" s="214" t="s">
        <v>107</v>
      </c>
      <c r="E32" s="215"/>
      <c r="F32" s="215"/>
      <c r="G32" s="215"/>
      <c r="H32" s="213"/>
      <c r="I32" s="3">
        <f>Skills!AC15</f>
        <v>0</v>
      </c>
      <c r="J32" s="163">
        <f ca="1">Skills!AI15</f>
        <v>-25</v>
      </c>
      <c r="K32" s="226"/>
      <c r="L32" s="269" t="s">
        <v>602</v>
      </c>
      <c r="M32" s="269"/>
      <c r="N32" s="301" t="s">
        <v>603</v>
      </c>
      <c r="O32" s="301"/>
      <c r="P32" s="301"/>
      <c r="Q32" s="301"/>
      <c r="R32" s="301"/>
      <c r="S32" s="302"/>
      <c r="T32" s="185">
        <f t="shared" si="1"/>
        <v>0.61</v>
      </c>
      <c r="U32" s="186" t="e">
        <f>(VLOOKUP(Race,Table_Race,IF(Front!$H$5="Male",24,25),FALSE))*T32</f>
        <v>#N/A</v>
      </c>
      <c r="V32" s="43">
        <v>-30</v>
      </c>
      <c r="W32" s="201"/>
      <c r="X32" s="188">
        <f t="shared" si="0"/>
        <v>0.99</v>
      </c>
      <c r="Y32" s="184" t="e">
        <f>(VLOOKUP(Race,Table_Race,IF(Front!$H$5="Male",24,25),FALSE))*X32</f>
        <v>#N/A</v>
      </c>
      <c r="Z32" s="1">
        <v>-68</v>
      </c>
      <c r="AA32" s="203"/>
    </row>
    <row r="33" spans="1:27" x14ac:dyDescent="0.25">
      <c r="A33" s="210"/>
      <c r="B33" s="212" t="s">
        <v>104</v>
      </c>
      <c r="C33" s="213"/>
      <c r="D33" s="214" t="s">
        <v>108</v>
      </c>
      <c r="E33" s="215"/>
      <c r="F33" s="215"/>
      <c r="G33" s="215"/>
      <c r="H33" s="213"/>
      <c r="I33" s="3">
        <f>Skills!AC16</f>
        <v>0</v>
      </c>
      <c r="J33" s="163">
        <f ca="1">Skills!AI16</f>
        <v>-25</v>
      </c>
      <c r="K33" s="226"/>
      <c r="L33" s="269" t="s">
        <v>604</v>
      </c>
      <c r="M33" s="269"/>
      <c r="N33" s="301" t="s">
        <v>605</v>
      </c>
      <c r="O33" s="301"/>
      <c r="P33" s="301"/>
      <c r="Q33" s="301"/>
      <c r="R33" s="301"/>
      <c r="S33" s="302"/>
      <c r="T33" s="181">
        <f t="shared" si="1"/>
        <v>0.62</v>
      </c>
      <c r="U33" s="182" t="e">
        <f>(VLOOKUP(Race,Table_Race,IF(Front!$H$5="Male",24,25),FALSE))*T33</f>
        <v>#N/A</v>
      </c>
      <c r="V33" s="177">
        <v>-31</v>
      </c>
      <c r="W33" s="199" t="s">
        <v>624</v>
      </c>
      <c r="X33" s="188">
        <f t="shared" si="0"/>
        <v>1</v>
      </c>
      <c r="Y33" s="184" t="e">
        <f>(VLOOKUP(Race,Table_Race,IF(Front!$H$5="Male",24,25),FALSE))*X33</f>
        <v>#N/A</v>
      </c>
      <c r="Z33" s="1">
        <v>-69</v>
      </c>
      <c r="AA33" s="203"/>
    </row>
    <row r="34" spans="1:27" ht="15.75" thickBot="1" x14ac:dyDescent="0.3">
      <c r="A34" s="210"/>
      <c r="B34" s="212" t="s">
        <v>110</v>
      </c>
      <c r="C34" s="213"/>
      <c r="D34" s="214" t="s">
        <v>111</v>
      </c>
      <c r="E34" s="215"/>
      <c r="F34" s="215"/>
      <c r="G34" s="215"/>
      <c r="H34" s="213"/>
      <c r="I34" s="3">
        <f>Skills!AC17</f>
        <v>0</v>
      </c>
      <c r="J34" s="163">
        <f ca="1">Skills!AI17</f>
        <v>-25</v>
      </c>
      <c r="K34" s="227"/>
      <c r="L34" s="269" t="s">
        <v>606</v>
      </c>
      <c r="M34" s="269"/>
      <c r="N34" s="303" t="s">
        <v>607</v>
      </c>
      <c r="O34" s="303"/>
      <c r="P34" s="303"/>
      <c r="Q34" s="303"/>
      <c r="R34" s="303"/>
      <c r="S34" s="304"/>
      <c r="T34" s="183">
        <f t="shared" si="1"/>
        <v>0.63</v>
      </c>
      <c r="U34" s="184" t="e">
        <f>(VLOOKUP(Race,Table_Race,IF(Front!$H$5="Male",24,25),FALSE))*T34</f>
        <v>#N/A</v>
      </c>
      <c r="V34" s="1">
        <v>-32</v>
      </c>
      <c r="W34" s="200"/>
      <c r="X34" s="188">
        <f t="shared" si="0"/>
        <v>1.01</v>
      </c>
      <c r="Y34" s="184" t="e">
        <f>(VLOOKUP(Race,Table_Race,IF(Front!$H$5="Male",24,25),FALSE))*X34</f>
        <v>#N/A</v>
      </c>
      <c r="Z34" s="1">
        <v>-70</v>
      </c>
      <c r="AA34" s="203"/>
    </row>
    <row r="35" spans="1:27" x14ac:dyDescent="0.25">
      <c r="A35" s="210"/>
      <c r="B35" s="212" t="s">
        <v>110</v>
      </c>
      <c r="C35" s="213"/>
      <c r="D35" s="214" t="s">
        <v>112</v>
      </c>
      <c r="E35" s="215"/>
      <c r="F35" s="215"/>
      <c r="G35" s="215"/>
      <c r="H35" s="213"/>
      <c r="I35" s="3">
        <f>Skills!AC18</f>
        <v>0</v>
      </c>
      <c r="J35" s="163">
        <f ca="1">Skills!AI18</f>
        <v>-25</v>
      </c>
      <c r="K35" s="225" t="s">
        <v>185</v>
      </c>
      <c r="L35" s="298" t="s">
        <v>569</v>
      </c>
      <c r="M35" s="298"/>
      <c r="N35" s="317" t="s">
        <v>570</v>
      </c>
      <c r="O35" s="317"/>
      <c r="P35" s="317"/>
      <c r="Q35" s="317"/>
      <c r="R35" s="317"/>
      <c r="S35" s="318"/>
      <c r="T35" s="183">
        <f t="shared" si="1"/>
        <v>0.64</v>
      </c>
      <c r="U35" s="184" t="e">
        <f>(VLOOKUP(Race,Table_Race,IF(Front!$H$5="Male",24,25),FALSE))*T35</f>
        <v>#N/A</v>
      </c>
      <c r="V35" s="1">
        <v>-33</v>
      </c>
      <c r="W35" s="200"/>
      <c r="X35" s="188">
        <f t="shared" si="0"/>
        <v>1.02</v>
      </c>
      <c r="Y35" s="184" t="e">
        <f>(VLOOKUP(Race,Table_Race,IF(Front!$H$5="Male",24,25),FALSE))*X35</f>
        <v>#N/A</v>
      </c>
      <c r="Z35" s="1">
        <v>-71</v>
      </c>
      <c r="AA35" s="203"/>
    </row>
    <row r="36" spans="1:27" x14ac:dyDescent="0.25">
      <c r="A36" s="210"/>
      <c r="B36" s="212" t="s">
        <v>110</v>
      </c>
      <c r="C36" s="213"/>
      <c r="D36" s="214" t="s">
        <v>113</v>
      </c>
      <c r="E36" s="215"/>
      <c r="F36" s="215"/>
      <c r="G36" s="215"/>
      <c r="H36" s="213"/>
      <c r="I36" s="3">
        <f>Skills!AC19</f>
        <v>0</v>
      </c>
      <c r="J36" s="163">
        <f ca="1">Skills!AI19</f>
        <v>-25</v>
      </c>
      <c r="K36" s="226"/>
      <c r="L36" s="269" t="s">
        <v>571</v>
      </c>
      <c r="M36" s="269"/>
      <c r="N36" s="305" t="s">
        <v>572</v>
      </c>
      <c r="O36" s="305"/>
      <c r="P36" s="305"/>
      <c r="Q36" s="305"/>
      <c r="R36" s="305"/>
      <c r="S36" s="306"/>
      <c r="T36" s="183">
        <f t="shared" si="1"/>
        <v>0.65</v>
      </c>
      <c r="U36" s="184" t="e">
        <f>(VLOOKUP(Race,Table_Race,IF(Front!$H$5="Male",24,25),FALSE))*T36</f>
        <v>#N/A</v>
      </c>
      <c r="V36" s="1">
        <v>-34</v>
      </c>
      <c r="W36" s="200"/>
      <c r="X36" s="188">
        <f t="shared" si="0"/>
        <v>1.03</v>
      </c>
      <c r="Y36" s="184" t="e">
        <f>(VLOOKUP(Race,Table_Race,IF(Front!$H$5="Male",24,25),FALSE))*X36</f>
        <v>#N/A</v>
      </c>
      <c r="Z36" s="1">
        <v>-72</v>
      </c>
      <c r="AA36" s="203"/>
    </row>
    <row r="37" spans="1:27" x14ac:dyDescent="0.25">
      <c r="A37" s="210"/>
      <c r="B37" s="212" t="s">
        <v>110</v>
      </c>
      <c r="C37" s="213"/>
      <c r="D37" s="214" t="s">
        <v>114</v>
      </c>
      <c r="E37" s="215"/>
      <c r="F37" s="215"/>
      <c r="G37" s="215"/>
      <c r="H37" s="213"/>
      <c r="I37" s="3">
        <f>Skills!AC20</f>
        <v>0</v>
      </c>
      <c r="J37" s="163">
        <f ca="1">Skills!AI20</f>
        <v>-17</v>
      </c>
      <c r="K37" s="226"/>
      <c r="L37" s="269" t="s">
        <v>573</v>
      </c>
      <c r="M37" s="269"/>
      <c r="N37" s="305" t="s">
        <v>574</v>
      </c>
      <c r="O37" s="305"/>
      <c r="P37" s="305"/>
      <c r="Q37" s="305"/>
      <c r="R37" s="305"/>
      <c r="S37" s="306"/>
      <c r="T37" s="183">
        <f t="shared" si="1"/>
        <v>0.65999999999999992</v>
      </c>
      <c r="U37" s="184" t="e">
        <f>(VLOOKUP(Race,Table_Race,IF(Front!$H$5="Male",24,25),FALSE))*T37</f>
        <v>#N/A</v>
      </c>
      <c r="V37" s="1">
        <v>-35</v>
      </c>
      <c r="W37" s="200"/>
      <c r="X37" s="188">
        <f t="shared" si="0"/>
        <v>1.04</v>
      </c>
      <c r="Y37" s="184" t="e">
        <f>(VLOOKUP(Race,Table_Race,IF(Front!$H$5="Male",24,25),FALSE))*X37</f>
        <v>#N/A</v>
      </c>
      <c r="Z37" s="1">
        <v>-73</v>
      </c>
      <c r="AA37" s="203"/>
    </row>
    <row r="38" spans="1:27" x14ac:dyDescent="0.25">
      <c r="A38" s="210"/>
      <c r="B38" s="212" t="s">
        <v>119</v>
      </c>
      <c r="C38" s="213"/>
      <c r="D38" s="214" t="s">
        <v>121</v>
      </c>
      <c r="E38" s="215"/>
      <c r="F38" s="215"/>
      <c r="G38" s="215"/>
      <c r="H38" s="213"/>
      <c r="I38" s="3">
        <f>Skills!AC22</f>
        <v>0</v>
      </c>
      <c r="J38" s="163">
        <f ca="1">Skills!AI22</f>
        <v>-17</v>
      </c>
      <c r="K38" s="226"/>
      <c r="L38" s="269" t="s">
        <v>575</v>
      </c>
      <c r="M38" s="269"/>
      <c r="N38" s="305" t="s">
        <v>576</v>
      </c>
      <c r="O38" s="305"/>
      <c r="P38" s="305"/>
      <c r="Q38" s="305"/>
      <c r="R38" s="305"/>
      <c r="S38" s="306"/>
      <c r="T38" s="183">
        <f t="shared" si="1"/>
        <v>0.66999999999999993</v>
      </c>
      <c r="U38" s="184" t="e">
        <f>(VLOOKUP(Race,Table_Race,IF(Front!$H$5="Male",24,25),FALSE))*T38</f>
        <v>#N/A</v>
      </c>
      <c r="V38" s="1">
        <v>-36</v>
      </c>
      <c r="W38" s="200"/>
      <c r="X38" s="188">
        <f t="shared" si="0"/>
        <v>1.05</v>
      </c>
      <c r="Y38" s="184" t="e">
        <f>(VLOOKUP(Race,Table_Race,IF(Front!$H$5="Male",24,25),FALSE))*X38</f>
        <v>#N/A</v>
      </c>
      <c r="Z38" s="1">
        <v>-74</v>
      </c>
      <c r="AA38" s="203"/>
    </row>
    <row r="39" spans="1:27" ht="15.75" thickBot="1" x14ac:dyDescent="0.3">
      <c r="A39" s="210"/>
      <c r="B39" s="212" t="s">
        <v>119</v>
      </c>
      <c r="C39" s="213"/>
      <c r="D39" s="214" t="s">
        <v>122</v>
      </c>
      <c r="E39" s="215"/>
      <c r="F39" s="215"/>
      <c r="G39" s="215"/>
      <c r="H39" s="213"/>
      <c r="I39" s="3" t="e">
        <f>Skills!AC23</f>
        <v>#N/A</v>
      </c>
      <c r="J39" s="163" t="e">
        <f>Skills!AI23</f>
        <v>#N/A</v>
      </c>
      <c r="K39" s="226"/>
      <c r="L39" s="269" t="s">
        <v>577</v>
      </c>
      <c r="M39" s="269"/>
      <c r="N39" s="305" t="s">
        <v>578</v>
      </c>
      <c r="O39" s="305"/>
      <c r="P39" s="305"/>
      <c r="Q39" s="305"/>
      <c r="R39" s="305"/>
      <c r="S39" s="306"/>
      <c r="T39" s="183">
        <f t="shared" si="1"/>
        <v>0.67999999999999994</v>
      </c>
      <c r="U39" s="184" t="e">
        <f>(VLOOKUP(Race,Table_Race,IF(Front!$H$5="Male",24,25),FALSE))*T39</f>
        <v>#N/A</v>
      </c>
      <c r="V39" s="1">
        <v>-37</v>
      </c>
      <c r="W39" s="200"/>
      <c r="X39" s="188">
        <f t="shared" si="0"/>
        <v>1.06</v>
      </c>
      <c r="Y39" s="184" t="e">
        <f>(VLOOKUP(Race,Table_Race,IF(Front!$H$5="Male",24,25),FALSE))*X39</f>
        <v>#N/A</v>
      </c>
      <c r="Z39" s="1">
        <v>-75</v>
      </c>
      <c r="AA39" s="203"/>
    </row>
    <row r="40" spans="1:27" x14ac:dyDescent="0.25">
      <c r="A40" s="210"/>
      <c r="B40" s="212" t="s">
        <v>124</v>
      </c>
      <c r="C40" s="213"/>
      <c r="D40" s="214" t="s">
        <v>125</v>
      </c>
      <c r="E40" s="215"/>
      <c r="F40" s="215"/>
      <c r="G40" s="215"/>
      <c r="H40" s="213"/>
      <c r="I40" s="3">
        <f>Skills!AC24</f>
        <v>0</v>
      </c>
      <c r="J40" s="163">
        <f ca="1">Skills!AI24</f>
        <v>-25</v>
      </c>
      <c r="K40" s="226"/>
      <c r="L40" s="269" t="s">
        <v>579</v>
      </c>
      <c r="M40" s="269"/>
      <c r="N40" s="305" t="s">
        <v>580</v>
      </c>
      <c r="O40" s="305"/>
      <c r="P40" s="305"/>
      <c r="Q40" s="305"/>
      <c r="R40" s="305"/>
      <c r="S40" s="306"/>
      <c r="T40" s="309" t="s">
        <v>636</v>
      </c>
      <c r="U40" s="310"/>
      <c r="V40" s="195" t="s">
        <v>89</v>
      </c>
      <c r="W40" s="195" t="s">
        <v>304</v>
      </c>
      <c r="X40" s="311" t="s">
        <v>636</v>
      </c>
      <c r="Y40" s="310"/>
      <c r="Z40" s="195" t="s">
        <v>89</v>
      </c>
      <c r="AA40" s="196" t="s">
        <v>304</v>
      </c>
    </row>
    <row r="41" spans="1:27" x14ac:dyDescent="0.25">
      <c r="A41" s="210"/>
      <c r="B41" s="212" t="s">
        <v>124</v>
      </c>
      <c r="C41" s="213"/>
      <c r="D41" s="214" t="s">
        <v>126</v>
      </c>
      <c r="E41" s="215"/>
      <c r="F41" s="215"/>
      <c r="G41" s="215"/>
      <c r="H41" s="213"/>
      <c r="I41" s="3">
        <f>Skills!AC25</f>
        <v>0</v>
      </c>
      <c r="J41" s="163">
        <f ca="1">Skills!AI25</f>
        <v>-25</v>
      </c>
      <c r="K41" s="226"/>
      <c r="L41" s="269" t="s">
        <v>581</v>
      </c>
      <c r="M41" s="269"/>
      <c r="N41" s="305" t="s">
        <v>582</v>
      </c>
      <c r="O41" s="305"/>
      <c r="P41" s="305"/>
      <c r="Q41" s="305"/>
      <c r="R41" s="305"/>
      <c r="S41" s="306"/>
      <c r="T41" s="315">
        <f>Skills!F143</f>
        <v>0</v>
      </c>
      <c r="U41" s="305"/>
      <c r="V41" s="1">
        <f>Skills!AC143</f>
        <v>0</v>
      </c>
      <c r="W41" s="1">
        <f ca="1">Skills!AI143</f>
        <v>-20</v>
      </c>
      <c r="X41" s="316"/>
      <c r="Y41" s="305"/>
      <c r="Z41" s="1"/>
      <c r="AA41" s="18"/>
    </row>
    <row r="42" spans="1:27" x14ac:dyDescent="0.25">
      <c r="A42" s="210"/>
      <c r="B42" s="212" t="s">
        <v>124</v>
      </c>
      <c r="C42" s="213"/>
      <c r="D42" s="214" t="s">
        <v>127</v>
      </c>
      <c r="E42" s="215"/>
      <c r="F42" s="215"/>
      <c r="G42" s="215"/>
      <c r="H42" s="213"/>
      <c r="I42" s="3">
        <f>Skills!AC26</f>
        <v>8</v>
      </c>
      <c r="J42" s="163">
        <f ca="1">Skills!AI26</f>
        <v>40</v>
      </c>
      <c r="K42" s="226"/>
      <c r="L42" s="269" t="s">
        <v>583</v>
      </c>
      <c r="M42" s="269"/>
      <c r="N42" s="305" t="s">
        <v>585</v>
      </c>
      <c r="O42" s="305"/>
      <c r="P42" s="305"/>
      <c r="Q42" s="305"/>
      <c r="R42" s="305"/>
      <c r="S42" s="306"/>
      <c r="T42" s="315">
        <f>Skills!F144</f>
        <v>0</v>
      </c>
      <c r="U42" s="305"/>
      <c r="V42" s="1">
        <f>Skills!AC144</f>
        <v>0</v>
      </c>
      <c r="W42" s="1">
        <f ca="1">Skills!AI144</f>
        <v>-20</v>
      </c>
      <c r="X42" s="316"/>
      <c r="Y42" s="305"/>
      <c r="Z42" s="1"/>
      <c r="AA42" s="18"/>
    </row>
    <row r="43" spans="1:27" x14ac:dyDescent="0.25">
      <c r="A43" s="210"/>
      <c r="B43" s="212" t="s">
        <v>124</v>
      </c>
      <c r="C43" s="213"/>
      <c r="D43" s="214" t="s">
        <v>128</v>
      </c>
      <c r="E43" s="215"/>
      <c r="F43" s="215"/>
      <c r="G43" s="215"/>
      <c r="H43" s="213"/>
      <c r="I43" s="3">
        <f>Skills!AC27</f>
        <v>0</v>
      </c>
      <c r="J43" s="163">
        <f ca="1">Skills!AI27</f>
        <v>-25</v>
      </c>
      <c r="K43" s="226"/>
      <c r="L43" s="269" t="s">
        <v>584</v>
      </c>
      <c r="M43" s="269"/>
      <c r="N43" s="305" t="s">
        <v>586</v>
      </c>
      <c r="O43" s="305"/>
      <c r="P43" s="305"/>
      <c r="Q43" s="305"/>
      <c r="R43" s="305"/>
      <c r="S43" s="306"/>
      <c r="T43" s="315">
        <f>Skills!F145</f>
        <v>0</v>
      </c>
      <c r="U43" s="305"/>
      <c r="V43" s="1">
        <f>Skills!AC145</f>
        <v>0</v>
      </c>
      <c r="W43" s="1">
        <f ca="1">Skills!AI145</f>
        <v>-20</v>
      </c>
      <c r="X43" s="316"/>
      <c r="Y43" s="305"/>
      <c r="Z43" s="1"/>
      <c r="AA43" s="18"/>
    </row>
    <row r="44" spans="1:27" x14ac:dyDescent="0.25">
      <c r="A44" s="210"/>
      <c r="B44" s="212" t="s">
        <v>124</v>
      </c>
      <c r="C44" s="213"/>
      <c r="D44" s="214" t="s">
        <v>129</v>
      </c>
      <c r="E44" s="215"/>
      <c r="F44" s="215"/>
      <c r="G44" s="215"/>
      <c r="H44" s="213"/>
      <c r="I44" s="3">
        <f>Skills!AC28</f>
        <v>0</v>
      </c>
      <c r="J44" s="163">
        <f ca="1">Skills!AI28</f>
        <v>-25</v>
      </c>
      <c r="K44" s="226"/>
      <c r="L44" s="269" t="s">
        <v>587</v>
      </c>
      <c r="M44" s="269"/>
      <c r="N44" s="305" t="s">
        <v>588</v>
      </c>
      <c r="O44" s="305"/>
      <c r="P44" s="305"/>
      <c r="Q44" s="305"/>
      <c r="R44" s="305"/>
      <c r="S44" s="306"/>
      <c r="T44" s="315">
        <f>Skills!F146</f>
        <v>0</v>
      </c>
      <c r="U44" s="305"/>
      <c r="V44" s="1">
        <f>Skills!AC146</f>
        <v>0</v>
      </c>
      <c r="W44" s="1">
        <f ca="1">Skills!AI146</f>
        <v>-20</v>
      </c>
      <c r="X44" s="316"/>
      <c r="Y44" s="305"/>
      <c r="Z44" s="1"/>
      <c r="AA44" s="18"/>
    </row>
    <row r="45" spans="1:27" x14ac:dyDescent="0.25">
      <c r="A45" s="210"/>
      <c r="B45" s="162"/>
      <c r="C45" s="138"/>
      <c r="D45" s="136"/>
      <c r="E45" s="137"/>
      <c r="F45" s="137"/>
      <c r="G45" s="137"/>
      <c r="H45" s="138"/>
      <c r="I45" s="3"/>
      <c r="J45" s="163"/>
      <c r="K45" s="226"/>
      <c r="L45" s="269" t="s">
        <v>589</v>
      </c>
      <c r="M45" s="269"/>
      <c r="N45" s="305" t="s">
        <v>590</v>
      </c>
      <c r="O45" s="305"/>
      <c r="P45" s="305"/>
      <c r="Q45" s="305"/>
      <c r="R45" s="305"/>
      <c r="S45" s="306"/>
      <c r="T45" s="315">
        <f>Skills!F147</f>
        <v>0</v>
      </c>
      <c r="U45" s="305"/>
      <c r="V45" s="1">
        <f>Skills!AC147</f>
        <v>0</v>
      </c>
      <c r="W45" s="1">
        <f ca="1">Skills!AI147</f>
        <v>-20</v>
      </c>
      <c r="X45" s="316"/>
      <c r="Y45" s="305"/>
      <c r="Z45" s="1"/>
      <c r="AA45" s="18"/>
    </row>
    <row r="46" spans="1:27" ht="15.75" thickBot="1" x14ac:dyDescent="0.3">
      <c r="A46" s="210"/>
      <c r="B46" s="212"/>
      <c r="C46" s="213"/>
      <c r="D46" s="214"/>
      <c r="E46" s="215"/>
      <c r="F46" s="215"/>
      <c r="G46" s="215"/>
      <c r="H46" s="213"/>
      <c r="I46" s="142"/>
      <c r="J46" s="157"/>
      <c r="K46" s="226"/>
      <c r="L46" s="269" t="s">
        <v>591</v>
      </c>
      <c r="M46" s="269"/>
      <c r="N46" s="305" t="s">
        <v>592</v>
      </c>
      <c r="O46" s="305"/>
      <c r="P46" s="305"/>
      <c r="Q46" s="305"/>
      <c r="R46" s="305"/>
      <c r="S46" s="306"/>
      <c r="T46" s="315">
        <f>Skills!F148</f>
        <v>0</v>
      </c>
      <c r="U46" s="305"/>
      <c r="V46" s="1">
        <f>Skills!AC148</f>
        <v>0</v>
      </c>
      <c r="W46" s="1">
        <f ca="1">Skills!AI148</f>
        <v>-20</v>
      </c>
      <c r="X46" s="316"/>
      <c r="Y46" s="305"/>
      <c r="Z46" s="1"/>
      <c r="AA46" s="18"/>
    </row>
    <row r="47" spans="1:27" ht="15.75" thickBot="1" x14ac:dyDescent="0.3">
      <c r="A47" s="211"/>
      <c r="B47" s="205"/>
      <c r="C47" s="206"/>
      <c r="D47" s="207"/>
      <c r="E47" s="208"/>
      <c r="F47" s="208"/>
      <c r="G47" s="208"/>
      <c r="H47" s="206"/>
      <c r="I47" s="143"/>
      <c r="J47" s="158"/>
      <c r="K47" s="227"/>
      <c r="L47" s="159" t="s">
        <v>593</v>
      </c>
      <c r="M47" s="159"/>
      <c r="N47" s="307" t="s">
        <v>594</v>
      </c>
      <c r="O47" s="307"/>
      <c r="P47" s="307"/>
      <c r="Q47" s="307"/>
      <c r="R47" s="307"/>
      <c r="S47" s="308"/>
      <c r="T47" s="312" t="s">
        <v>638</v>
      </c>
      <c r="U47" s="313"/>
      <c r="V47" s="313"/>
      <c r="W47" s="313"/>
      <c r="X47" s="313"/>
      <c r="Y47" s="313"/>
      <c r="Z47" s="313"/>
      <c r="AA47" s="314"/>
    </row>
    <row r="53" spans="4:4" x14ac:dyDescent="0.25">
      <c r="D53" s="194"/>
    </row>
  </sheetData>
  <mergeCells count="192">
    <mergeCell ref="T47:AA47"/>
    <mergeCell ref="T41:U41"/>
    <mergeCell ref="T42:U42"/>
    <mergeCell ref="T43:U43"/>
    <mergeCell ref="T44:U44"/>
    <mergeCell ref="T45:U45"/>
    <mergeCell ref="T46:U46"/>
    <mergeCell ref="X41:Y41"/>
    <mergeCell ref="X42:Y42"/>
    <mergeCell ref="X43:Y43"/>
    <mergeCell ref="X44:Y44"/>
    <mergeCell ref="X45:Y45"/>
    <mergeCell ref="X46:Y46"/>
    <mergeCell ref="L45:M45"/>
    <mergeCell ref="L46:M46"/>
    <mergeCell ref="K35:K47"/>
    <mergeCell ref="N35:S35"/>
    <mergeCell ref="T40:U40"/>
    <mergeCell ref="X40:Y40"/>
    <mergeCell ref="L44:M44"/>
    <mergeCell ref="L39:M39"/>
    <mergeCell ref="L40:M40"/>
    <mergeCell ref="N42:S42"/>
    <mergeCell ref="N43:S43"/>
    <mergeCell ref="N44:S44"/>
    <mergeCell ref="N29:S29"/>
    <mergeCell ref="N30:S30"/>
    <mergeCell ref="N31:S31"/>
    <mergeCell ref="N32:S32"/>
    <mergeCell ref="N33:S33"/>
    <mergeCell ref="N34:S34"/>
    <mergeCell ref="N45:S45"/>
    <mergeCell ref="N46:S46"/>
    <mergeCell ref="N47:S47"/>
    <mergeCell ref="N36:S36"/>
    <mergeCell ref="N37:S37"/>
    <mergeCell ref="N38:S38"/>
    <mergeCell ref="N39:S39"/>
    <mergeCell ref="N40:S40"/>
    <mergeCell ref="N41:S41"/>
    <mergeCell ref="B33:C33"/>
    <mergeCell ref="D33:H33"/>
    <mergeCell ref="B34:C34"/>
    <mergeCell ref="D34:H34"/>
    <mergeCell ref="L31:M31"/>
    <mergeCell ref="L41:M41"/>
    <mergeCell ref="L42:M42"/>
    <mergeCell ref="K27:S27"/>
    <mergeCell ref="L43:M43"/>
    <mergeCell ref="B26:D28"/>
    <mergeCell ref="E26:G28"/>
    <mergeCell ref="D37:H37"/>
    <mergeCell ref="N28:S28"/>
    <mergeCell ref="K28:M28"/>
    <mergeCell ref="K29:K34"/>
    <mergeCell ref="L29:M29"/>
    <mergeCell ref="L30:M30"/>
    <mergeCell ref="L35:M35"/>
    <mergeCell ref="L36:M36"/>
    <mergeCell ref="L37:M37"/>
    <mergeCell ref="L38:M38"/>
    <mergeCell ref="L32:M32"/>
    <mergeCell ref="L33:M33"/>
    <mergeCell ref="L34:M34"/>
    <mergeCell ref="N25:S25"/>
    <mergeCell ref="N26:S26"/>
    <mergeCell ref="B24:C24"/>
    <mergeCell ref="D23:G23"/>
    <mergeCell ref="D24:G24"/>
    <mergeCell ref="N18:S18"/>
    <mergeCell ref="N19:S19"/>
    <mergeCell ref="N20:S20"/>
    <mergeCell ref="N21:S21"/>
    <mergeCell ref="N22:S22"/>
    <mergeCell ref="N23:S23"/>
    <mergeCell ref="K25:M25"/>
    <mergeCell ref="K26:M26"/>
    <mergeCell ref="E25:G25"/>
    <mergeCell ref="B25:D25"/>
    <mergeCell ref="K23:M23"/>
    <mergeCell ref="K24:M24"/>
    <mergeCell ref="K19:M19"/>
    <mergeCell ref="N24:S24"/>
    <mergeCell ref="K20:M20"/>
    <mergeCell ref="K21:M21"/>
    <mergeCell ref="K22:M22"/>
    <mergeCell ref="H18:J18"/>
    <mergeCell ref="K16:S16"/>
    <mergeCell ref="K17:M17"/>
    <mergeCell ref="N17:S17"/>
    <mergeCell ref="K18:M18"/>
    <mergeCell ref="J2:J8"/>
    <mergeCell ref="L2:M2"/>
    <mergeCell ref="N2:O2"/>
    <mergeCell ref="P2:Q2"/>
    <mergeCell ref="R2:S2"/>
    <mergeCell ref="L3:M3"/>
    <mergeCell ref="N3:O3"/>
    <mergeCell ref="P3:Q3"/>
    <mergeCell ref="R3:S3"/>
    <mergeCell ref="L4:M4"/>
    <mergeCell ref="L6:M6"/>
    <mergeCell ref="N6:O6"/>
    <mergeCell ref="L5:M5"/>
    <mergeCell ref="N5:O5"/>
    <mergeCell ref="P5:Q5"/>
    <mergeCell ref="C17:D17"/>
    <mergeCell ref="F17:G17"/>
    <mergeCell ref="H16:J16"/>
    <mergeCell ref="I17:J17"/>
    <mergeCell ref="P6:Q6"/>
    <mergeCell ref="R6:S6"/>
    <mergeCell ref="L7:M7"/>
    <mergeCell ref="E7:E8"/>
    <mergeCell ref="D7:D8"/>
    <mergeCell ref="C7:C8"/>
    <mergeCell ref="L8:M8"/>
    <mergeCell ref="N8:O8"/>
    <mergeCell ref="P8:Q8"/>
    <mergeCell ref="R8:S8"/>
    <mergeCell ref="N7:O7"/>
    <mergeCell ref="P7:Q7"/>
    <mergeCell ref="N4:O4"/>
    <mergeCell ref="P4:Q4"/>
    <mergeCell ref="R4:S4"/>
    <mergeCell ref="R5:S5"/>
    <mergeCell ref="R7:S7"/>
    <mergeCell ref="B16:D16"/>
    <mergeCell ref="E16:G16"/>
    <mergeCell ref="H8:I8"/>
    <mergeCell ref="R15:S15"/>
    <mergeCell ref="C9:G9"/>
    <mergeCell ref="C10:G10"/>
    <mergeCell ref="C11:G11"/>
    <mergeCell ref="C12:G12"/>
    <mergeCell ref="C13:G13"/>
    <mergeCell ref="C14:G14"/>
    <mergeCell ref="C15:G15"/>
    <mergeCell ref="R9:S9"/>
    <mergeCell ref="R10:S10"/>
    <mergeCell ref="R11:S11"/>
    <mergeCell ref="R12:S12"/>
    <mergeCell ref="R13:S13"/>
    <mergeCell ref="R14:S14"/>
    <mergeCell ref="B35:C35"/>
    <mergeCell ref="D35:H35"/>
    <mergeCell ref="B36:C36"/>
    <mergeCell ref="D36:H36"/>
    <mergeCell ref="B37:C37"/>
    <mergeCell ref="B1:C1"/>
    <mergeCell ref="B30:C30"/>
    <mergeCell ref="D30:H30"/>
    <mergeCell ref="B31:C31"/>
    <mergeCell ref="D31:H31"/>
    <mergeCell ref="B32:C32"/>
    <mergeCell ref="D32:H32"/>
    <mergeCell ref="H3:I3"/>
    <mergeCell ref="H4:I4"/>
    <mergeCell ref="H5:I5"/>
    <mergeCell ref="H6:I6"/>
    <mergeCell ref="H7:I7"/>
    <mergeCell ref="D1:S1"/>
    <mergeCell ref="B2:B8"/>
    <mergeCell ref="B9:B15"/>
    <mergeCell ref="C3:E6"/>
    <mergeCell ref="F3:F5"/>
    <mergeCell ref="F6:F8"/>
    <mergeCell ref="C2:I2"/>
    <mergeCell ref="W3:W17"/>
    <mergeCell ref="W18:W32"/>
    <mergeCell ref="AA10:AA39"/>
    <mergeCell ref="W33:W39"/>
    <mergeCell ref="AA2:AA9"/>
    <mergeCell ref="B47:C47"/>
    <mergeCell ref="D47:H47"/>
    <mergeCell ref="A1:A47"/>
    <mergeCell ref="B43:C43"/>
    <mergeCell ref="D43:H43"/>
    <mergeCell ref="B44:C44"/>
    <mergeCell ref="D44:H44"/>
    <mergeCell ref="B46:C46"/>
    <mergeCell ref="D46:H46"/>
    <mergeCell ref="B40:C40"/>
    <mergeCell ref="D40:H40"/>
    <mergeCell ref="B41:C41"/>
    <mergeCell ref="D41:H41"/>
    <mergeCell ref="B42:C42"/>
    <mergeCell ref="D42:H42"/>
    <mergeCell ref="B38:C38"/>
    <mergeCell ref="D38:H38"/>
    <mergeCell ref="B39:C39"/>
    <mergeCell ref="D39:H39"/>
  </mergeCells>
  <printOptions verticalCentered="1"/>
  <pageMargins left="0.25" right="0.25" top="0.75" bottom="0.75" header="0.3" footer="0.3"/>
  <pageSetup scale="5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CB8D1-8A5E-41AA-BCF2-7B56113C8A6A}">
  <sheetPr>
    <pageSetUpPr fitToPage="1"/>
  </sheetPr>
  <dimension ref="A1:BF176"/>
  <sheetViews>
    <sheetView topLeftCell="A80" workbookViewId="0">
      <selection activeCell="A113" sqref="A113"/>
    </sheetView>
  </sheetViews>
  <sheetFormatPr defaultRowHeight="15" x14ac:dyDescent="0.25"/>
  <cols>
    <col min="1" max="1" width="17" customWidth="1"/>
    <col min="5" max="5" width="21.28515625" customWidth="1"/>
    <col min="6" max="6" width="16.85546875" style="77" customWidth="1"/>
    <col min="7" max="7" width="10.85546875" style="1" bestFit="1" customWidth="1"/>
    <col min="9" max="9" width="5.28515625" style="1" customWidth="1"/>
    <col min="10" max="28" width="4.42578125" style="1" customWidth="1"/>
    <col min="39" max="39" width="5" style="1" customWidth="1"/>
    <col min="40" max="58" width="3.7109375" style="1" customWidth="1"/>
  </cols>
  <sheetData>
    <row r="1" spans="1:58" ht="62.25" x14ac:dyDescent="0.95">
      <c r="A1" s="335" t="s">
        <v>453</v>
      </c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7"/>
    </row>
    <row r="2" spans="1:58" x14ac:dyDescent="0.25">
      <c r="A2" s="34"/>
      <c r="I2" s="418" t="s">
        <v>246</v>
      </c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  <c r="X2" s="418"/>
      <c r="Y2" s="418"/>
      <c r="Z2" s="418"/>
      <c r="AA2" s="418"/>
      <c r="AB2" s="418"/>
      <c r="AI2" s="35"/>
      <c r="AM2" s="416" t="s">
        <v>250</v>
      </c>
      <c r="AN2" s="416"/>
      <c r="AO2" s="416"/>
      <c r="AP2" s="416"/>
      <c r="AQ2" s="416"/>
      <c r="AR2" s="416"/>
      <c r="AS2" s="416"/>
      <c r="AT2" s="416"/>
      <c r="AU2" s="416"/>
      <c r="AV2" s="416"/>
      <c r="AW2" s="416"/>
      <c r="AX2" s="416"/>
      <c r="AY2" s="416"/>
      <c r="AZ2" s="416"/>
      <c r="BA2" s="416"/>
      <c r="BB2" s="416"/>
      <c r="BC2" s="416"/>
      <c r="BD2" s="416"/>
      <c r="BE2" s="416"/>
      <c r="BF2" s="416"/>
    </row>
    <row r="3" spans="1:58" x14ac:dyDescent="0.25">
      <c r="A3" s="34"/>
      <c r="F3" s="417" t="s">
        <v>249</v>
      </c>
      <c r="G3" s="417"/>
      <c r="H3" s="417"/>
      <c r="I3" s="73">
        <f>60+Front!C10-Front!D32</f>
        <v>60</v>
      </c>
      <c r="J3" s="131" t="e">
        <f>60+I4</f>
        <v>#N/A</v>
      </c>
      <c r="K3" s="131" t="e">
        <f t="shared" ref="K3:AB3" si="0">60+J4</f>
        <v>#N/A</v>
      </c>
      <c r="L3" s="131" t="e">
        <f t="shared" si="0"/>
        <v>#N/A</v>
      </c>
      <c r="M3" s="131" t="e">
        <f t="shared" si="0"/>
        <v>#N/A</v>
      </c>
      <c r="N3" s="131" t="e">
        <f t="shared" si="0"/>
        <v>#N/A</v>
      </c>
      <c r="O3" s="131" t="e">
        <f t="shared" si="0"/>
        <v>#N/A</v>
      </c>
      <c r="P3" s="131" t="e">
        <f t="shared" si="0"/>
        <v>#N/A</v>
      </c>
      <c r="Q3" s="131" t="e">
        <f t="shared" si="0"/>
        <v>#N/A</v>
      </c>
      <c r="R3" s="131" t="e">
        <f t="shared" si="0"/>
        <v>#N/A</v>
      </c>
      <c r="S3" s="131" t="e">
        <f t="shared" si="0"/>
        <v>#N/A</v>
      </c>
      <c r="T3" s="131" t="e">
        <f t="shared" si="0"/>
        <v>#N/A</v>
      </c>
      <c r="U3" s="131" t="e">
        <f t="shared" si="0"/>
        <v>#N/A</v>
      </c>
      <c r="V3" s="131" t="e">
        <f t="shared" si="0"/>
        <v>#N/A</v>
      </c>
      <c r="W3" s="131" t="e">
        <f t="shared" si="0"/>
        <v>#N/A</v>
      </c>
      <c r="X3" s="131" t="e">
        <f t="shared" si="0"/>
        <v>#N/A</v>
      </c>
      <c r="Y3" s="131" t="e">
        <f t="shared" si="0"/>
        <v>#N/A</v>
      </c>
      <c r="Z3" s="131" t="e">
        <f t="shared" si="0"/>
        <v>#N/A</v>
      </c>
      <c r="AA3" s="131" t="e">
        <f t="shared" si="0"/>
        <v>#N/A</v>
      </c>
      <c r="AB3" s="131" t="e">
        <f t="shared" si="0"/>
        <v>#N/A</v>
      </c>
      <c r="AI3" s="35"/>
      <c r="AM3" s="70">
        <f>I3</f>
        <v>60</v>
      </c>
      <c r="AN3" s="70" t="e">
        <f t="shared" ref="AN3:BF3" si="1">J3</f>
        <v>#N/A</v>
      </c>
      <c r="AO3" s="70" t="e">
        <f t="shared" si="1"/>
        <v>#N/A</v>
      </c>
      <c r="AP3" s="70" t="e">
        <f t="shared" si="1"/>
        <v>#N/A</v>
      </c>
      <c r="AQ3" s="70" t="e">
        <f t="shared" si="1"/>
        <v>#N/A</v>
      </c>
      <c r="AR3" s="70" t="e">
        <f t="shared" si="1"/>
        <v>#N/A</v>
      </c>
      <c r="AS3" s="70" t="e">
        <f t="shared" si="1"/>
        <v>#N/A</v>
      </c>
      <c r="AT3" s="70" t="e">
        <f t="shared" si="1"/>
        <v>#N/A</v>
      </c>
      <c r="AU3" s="70" t="e">
        <f t="shared" si="1"/>
        <v>#N/A</v>
      </c>
      <c r="AV3" s="70" t="e">
        <f t="shared" si="1"/>
        <v>#N/A</v>
      </c>
      <c r="AW3" s="70" t="e">
        <f t="shared" si="1"/>
        <v>#N/A</v>
      </c>
      <c r="AX3" s="70" t="e">
        <f t="shared" si="1"/>
        <v>#N/A</v>
      </c>
      <c r="AY3" s="70" t="e">
        <f t="shared" si="1"/>
        <v>#N/A</v>
      </c>
      <c r="AZ3" s="70" t="e">
        <f t="shared" si="1"/>
        <v>#N/A</v>
      </c>
      <c r="BA3" s="70" t="e">
        <f t="shared" si="1"/>
        <v>#N/A</v>
      </c>
      <c r="BB3" s="70" t="e">
        <f t="shared" si="1"/>
        <v>#N/A</v>
      </c>
      <c r="BC3" s="70" t="e">
        <f t="shared" si="1"/>
        <v>#N/A</v>
      </c>
      <c r="BD3" s="70" t="e">
        <f t="shared" si="1"/>
        <v>#N/A</v>
      </c>
      <c r="BE3" s="70" t="e">
        <f t="shared" si="1"/>
        <v>#N/A</v>
      </c>
      <c r="BF3" s="70" t="e">
        <f t="shared" si="1"/>
        <v>#N/A</v>
      </c>
    </row>
    <row r="4" spans="1:58" x14ac:dyDescent="0.25">
      <c r="A4" s="34"/>
      <c r="C4" s="1"/>
      <c r="D4" s="1"/>
      <c r="F4" s="417" t="s">
        <v>248</v>
      </c>
      <c r="G4" s="417"/>
      <c r="H4" s="417"/>
      <c r="I4" s="131" t="e">
        <f>I3-AM4-MAX(Front!D32-10,0)</f>
        <v>#N/A</v>
      </c>
      <c r="J4" s="73" t="e">
        <f t="shared" ref="J4:AB4" si="2">J3-AN4</f>
        <v>#N/A</v>
      </c>
      <c r="K4" s="73" t="e">
        <f t="shared" si="2"/>
        <v>#N/A</v>
      </c>
      <c r="L4" s="73" t="e">
        <f t="shared" si="2"/>
        <v>#N/A</v>
      </c>
      <c r="M4" s="73" t="e">
        <f t="shared" si="2"/>
        <v>#N/A</v>
      </c>
      <c r="N4" s="73" t="e">
        <f t="shared" si="2"/>
        <v>#N/A</v>
      </c>
      <c r="O4" s="73" t="e">
        <f t="shared" si="2"/>
        <v>#N/A</v>
      </c>
      <c r="P4" s="73" t="e">
        <f t="shared" si="2"/>
        <v>#N/A</v>
      </c>
      <c r="Q4" s="73" t="e">
        <f t="shared" si="2"/>
        <v>#N/A</v>
      </c>
      <c r="R4" s="73" t="e">
        <f t="shared" si="2"/>
        <v>#N/A</v>
      </c>
      <c r="S4" s="73" t="e">
        <f t="shared" si="2"/>
        <v>#N/A</v>
      </c>
      <c r="T4" s="73" t="e">
        <f t="shared" si="2"/>
        <v>#N/A</v>
      </c>
      <c r="U4" s="73" t="e">
        <f t="shared" si="2"/>
        <v>#N/A</v>
      </c>
      <c r="V4" s="73" t="e">
        <f t="shared" si="2"/>
        <v>#N/A</v>
      </c>
      <c r="W4" s="73" t="e">
        <f t="shared" si="2"/>
        <v>#N/A</v>
      </c>
      <c r="X4" s="73" t="e">
        <f t="shared" si="2"/>
        <v>#N/A</v>
      </c>
      <c r="Y4" s="73" t="e">
        <f t="shared" si="2"/>
        <v>#N/A</v>
      </c>
      <c r="Z4" s="73" t="e">
        <f t="shared" si="2"/>
        <v>#N/A</v>
      </c>
      <c r="AA4" s="73" t="e">
        <f t="shared" si="2"/>
        <v>#N/A</v>
      </c>
      <c r="AB4" s="73" t="e">
        <f t="shared" si="2"/>
        <v>#N/A</v>
      </c>
      <c r="AI4" s="35"/>
      <c r="AM4" s="97" t="e">
        <f>SUM(AM6:AM139)+SUM(AM143:AM176)</f>
        <v>#N/A</v>
      </c>
      <c r="AN4" s="97" t="e">
        <f t="shared" ref="AN4:BF4" si="3">SUM(AN6:AN139)+SUM(AN143:AN176)</f>
        <v>#N/A</v>
      </c>
      <c r="AO4" s="97" t="e">
        <f t="shared" si="3"/>
        <v>#N/A</v>
      </c>
      <c r="AP4" s="97" t="e">
        <f t="shared" si="3"/>
        <v>#N/A</v>
      </c>
      <c r="AQ4" s="97">
        <f t="shared" si="3"/>
        <v>0</v>
      </c>
      <c r="AR4" s="97">
        <f t="shared" si="3"/>
        <v>0</v>
      </c>
      <c r="AS4" s="97">
        <f t="shared" si="3"/>
        <v>0</v>
      </c>
      <c r="AT4" s="97">
        <f t="shared" si="3"/>
        <v>0</v>
      </c>
      <c r="AU4" s="97">
        <f t="shared" si="3"/>
        <v>0</v>
      </c>
      <c r="AV4" s="97">
        <f t="shared" si="3"/>
        <v>0</v>
      </c>
      <c r="AW4" s="97">
        <f t="shared" si="3"/>
        <v>0</v>
      </c>
      <c r="AX4" s="97">
        <f t="shared" si="3"/>
        <v>0</v>
      </c>
      <c r="AY4" s="97">
        <f t="shared" si="3"/>
        <v>0</v>
      </c>
      <c r="AZ4" s="97">
        <f t="shared" si="3"/>
        <v>0</v>
      </c>
      <c r="BA4" s="97">
        <f t="shared" si="3"/>
        <v>0</v>
      </c>
      <c r="BB4" s="97">
        <f t="shared" si="3"/>
        <v>0</v>
      </c>
      <c r="BC4" s="97">
        <f t="shared" si="3"/>
        <v>0</v>
      </c>
      <c r="BD4" s="97">
        <f t="shared" si="3"/>
        <v>0</v>
      </c>
      <c r="BE4" s="97">
        <f t="shared" si="3"/>
        <v>0</v>
      </c>
      <c r="BF4" s="97">
        <f t="shared" si="3"/>
        <v>0</v>
      </c>
    </row>
    <row r="5" spans="1:58" ht="30.75" thickBot="1" x14ac:dyDescent="0.3">
      <c r="A5" s="81" t="s">
        <v>85</v>
      </c>
      <c r="B5" s="82" t="s">
        <v>92</v>
      </c>
      <c r="C5" s="85" t="s">
        <v>419</v>
      </c>
      <c r="D5" s="88" t="s">
        <v>90</v>
      </c>
      <c r="E5" s="83" t="s">
        <v>86</v>
      </c>
      <c r="F5" s="84" t="s">
        <v>87</v>
      </c>
      <c r="G5" s="82" t="s">
        <v>88</v>
      </c>
      <c r="H5" s="82" t="s">
        <v>8</v>
      </c>
      <c r="I5" s="82">
        <v>1</v>
      </c>
      <c r="J5" s="82">
        <v>2</v>
      </c>
      <c r="K5" s="82">
        <v>3</v>
      </c>
      <c r="L5" s="82">
        <v>4</v>
      </c>
      <c r="M5" s="82">
        <v>5</v>
      </c>
      <c r="N5" s="82">
        <v>6</v>
      </c>
      <c r="O5" s="82">
        <v>7</v>
      </c>
      <c r="P5" s="82">
        <v>8</v>
      </c>
      <c r="Q5" s="82">
        <v>9</v>
      </c>
      <c r="R5" s="82">
        <v>10</v>
      </c>
      <c r="S5" s="82">
        <v>11</v>
      </c>
      <c r="T5" s="82">
        <v>12</v>
      </c>
      <c r="U5" s="82">
        <v>13</v>
      </c>
      <c r="V5" s="82">
        <v>14</v>
      </c>
      <c r="W5" s="82">
        <v>15</v>
      </c>
      <c r="X5" s="82">
        <v>16</v>
      </c>
      <c r="Y5" s="82">
        <v>17</v>
      </c>
      <c r="Z5" s="82">
        <v>18</v>
      </c>
      <c r="AA5" s="82">
        <v>19</v>
      </c>
      <c r="AB5" s="82">
        <v>20</v>
      </c>
      <c r="AC5" s="85" t="s">
        <v>247</v>
      </c>
      <c r="AD5" s="86" t="s">
        <v>97</v>
      </c>
      <c r="AE5" s="86" t="s">
        <v>99</v>
      </c>
      <c r="AF5" s="86" t="s">
        <v>98</v>
      </c>
      <c r="AG5" s="86" t="s">
        <v>90</v>
      </c>
      <c r="AH5" s="82" t="s">
        <v>31</v>
      </c>
      <c r="AI5" s="87" t="s">
        <v>91</v>
      </c>
      <c r="AM5" s="71">
        <v>1</v>
      </c>
      <c r="AN5" s="71">
        <v>2</v>
      </c>
      <c r="AO5" s="71">
        <v>3</v>
      </c>
      <c r="AP5" s="71">
        <v>4</v>
      </c>
      <c r="AQ5" s="71">
        <v>5</v>
      </c>
      <c r="AR5" s="71">
        <v>6</v>
      </c>
      <c r="AS5" s="71">
        <v>7</v>
      </c>
      <c r="AT5" s="71">
        <v>8</v>
      </c>
      <c r="AU5" s="71">
        <v>9</v>
      </c>
      <c r="AV5" s="71">
        <v>10</v>
      </c>
      <c r="AW5" s="71">
        <v>11</v>
      </c>
      <c r="AX5" s="71">
        <v>12</v>
      </c>
      <c r="AY5" s="71">
        <v>13</v>
      </c>
      <c r="AZ5" s="71">
        <v>14</v>
      </c>
      <c r="BA5" s="71">
        <v>15</v>
      </c>
      <c r="BB5" s="71">
        <v>16</v>
      </c>
      <c r="BC5" s="71">
        <v>17</v>
      </c>
      <c r="BD5" s="71">
        <v>18</v>
      </c>
      <c r="BE5" s="71">
        <v>19</v>
      </c>
      <c r="BF5" s="71">
        <v>20</v>
      </c>
    </row>
    <row r="6" spans="1:58" ht="15.75" thickTop="1" x14ac:dyDescent="0.25">
      <c r="A6" s="34" t="s">
        <v>93</v>
      </c>
      <c r="B6" s="1" t="e">
        <f t="shared" ref="B6:B28" si="4">VLOOKUP(A6,Table_Profession_Skills,VLOOKUP(Profession,Table_Profession,2,FALSE)+1,FALSE)</f>
        <v>#N/A</v>
      </c>
      <c r="C6" s="1"/>
      <c r="D6" s="1"/>
      <c r="E6" t="s">
        <v>94</v>
      </c>
      <c r="F6" s="77" t="str">
        <f>Worksheet!L33</f>
        <v>Dogs</v>
      </c>
      <c r="G6" s="74" t="s">
        <v>96</v>
      </c>
      <c r="H6" s="1">
        <f>Worksheet!P33</f>
        <v>0</v>
      </c>
      <c r="AC6" s="1">
        <f>SUM(I6:INDEX(I6:AB6,Level))+H6</f>
        <v>0</v>
      </c>
      <c r="AD6" s="45">
        <f t="shared" ref="AD6:AD44" si="5">IF(AC6&gt;30,100+AC6,VLOOKUP(AC6,Rank_Bonus,2,FALSE))</f>
        <v>-25</v>
      </c>
      <c r="AE6" s="45" cm="1">
        <f t="array" aca="1" ref="AE6" ca="1">IF(G6="NA",0,INDIRECT(LEFT(G6,2))+INDIRECT(MID(G6,4,2))+INDIRECT(RIGHT(G6,2)))</f>
        <v>0</v>
      </c>
      <c r="AF6" s="45">
        <f>IF(C6="X",MIN(30,AC6),0)</f>
        <v>0</v>
      </c>
      <c r="AG6" s="45">
        <f>IF(D6="X",5,0)</f>
        <v>0</v>
      </c>
      <c r="AH6" s="45"/>
      <c r="AI6" s="51">
        <f ca="1">SUM(AD6:AH6)</f>
        <v>-25</v>
      </c>
      <c r="AM6" s="72">
        <f t="shared" ref="AM6:AM44" si="6">_xlfn.NUMBERVALUE(IF(I6=0,0,IF(I6=1,LEFT($B6,FIND("/",$B6)-1),SUM(LEFT($B6,FIND("/",$B6)-1),RIGHT($B6,LEN($B6)-FIND("/",$B6))))))</f>
        <v>0</v>
      </c>
      <c r="AN6" s="72">
        <f t="shared" ref="AN6:AN44" si="7">_xlfn.NUMBERVALUE(IF(J6=0,0,IF(J6=1,LEFT($B6,FIND("/",$B6)-1),SUM(LEFT($B6,FIND("/",$B6)-1),RIGHT($B6,LEN($B6)-FIND("/",$B6))))))</f>
        <v>0</v>
      </c>
      <c r="AO6" s="72">
        <f t="shared" ref="AO6:AO44" si="8">_xlfn.NUMBERVALUE(IF(K6=0,0,IF(K6=1,LEFT($B6,FIND("/",$B6)-1),SUM(LEFT($B6,FIND("/",$B6)-1),RIGHT($B6,LEN($B6)-FIND("/",$B6))))))</f>
        <v>0</v>
      </c>
      <c r="AP6" s="72">
        <f t="shared" ref="AP6:AP44" si="9">_xlfn.NUMBERVALUE(IF(L6=0,0,IF(L6=1,LEFT($B6,FIND("/",$B6)-1),SUM(LEFT($B6,FIND("/",$B6)-1),RIGHT($B6,LEN($B6)-FIND("/",$B6))))))</f>
        <v>0</v>
      </c>
      <c r="AQ6" s="72">
        <f t="shared" ref="AQ6:AQ44" si="10">_xlfn.NUMBERVALUE(IF(M6=0,0,IF(M6=1,LEFT($B6,FIND("/",$B6)-1),SUM(LEFT($B6,FIND("/",$B6)-1),RIGHT($B6,LEN($B6)-FIND("/",$B6))))))</f>
        <v>0</v>
      </c>
      <c r="AR6" s="72">
        <f t="shared" ref="AR6:AR44" si="11">_xlfn.NUMBERVALUE(IF(N6=0,0,IF(N6=1,LEFT($B6,FIND("/",$B6)-1),SUM(LEFT($B6,FIND("/",$B6)-1),RIGHT($B6,LEN($B6)-FIND("/",$B6))))))</f>
        <v>0</v>
      </c>
      <c r="AS6" s="72">
        <f t="shared" ref="AS6:AS44" si="12">_xlfn.NUMBERVALUE(IF(O6=0,0,IF(O6=1,LEFT($B6,FIND("/",$B6)-1),SUM(LEFT($B6,FIND("/",$B6)-1),RIGHT($B6,LEN($B6)-FIND("/",$B6))))))</f>
        <v>0</v>
      </c>
      <c r="AT6" s="72">
        <f t="shared" ref="AT6:AT44" si="13">_xlfn.NUMBERVALUE(IF(P6=0,0,IF(P6=1,LEFT($B6,FIND("/",$B6)-1),SUM(LEFT($B6,FIND("/",$B6)-1),RIGHT($B6,LEN($B6)-FIND("/",$B6))))))</f>
        <v>0</v>
      </c>
      <c r="AU6" s="72">
        <f t="shared" ref="AU6:AU44" si="14">_xlfn.NUMBERVALUE(IF(Q6=0,0,IF(Q6=1,LEFT($B6,FIND("/",$B6)-1),SUM(LEFT($B6,FIND("/",$B6)-1),RIGHT($B6,LEN($B6)-FIND("/",$B6))))))</f>
        <v>0</v>
      </c>
      <c r="AV6" s="72">
        <f t="shared" ref="AV6:AV44" si="15">_xlfn.NUMBERVALUE(IF(R6=0,0,IF(R6=1,LEFT($B6,FIND("/",$B6)-1),SUM(LEFT($B6,FIND("/",$B6)-1),RIGHT($B6,LEN($B6)-FIND("/",$B6))))))</f>
        <v>0</v>
      </c>
      <c r="AW6" s="72">
        <f t="shared" ref="AW6:AW44" si="16">_xlfn.NUMBERVALUE(IF(S6=0,0,IF(S6=1,LEFT($B6,FIND("/",$B6)-1),SUM(LEFT($B6,FIND("/",$B6)-1),RIGHT($B6,LEN($B6)-FIND("/",$B6))))))</f>
        <v>0</v>
      </c>
      <c r="AX6" s="72">
        <f t="shared" ref="AX6:AX44" si="17">_xlfn.NUMBERVALUE(IF(T6=0,0,IF(T6=1,LEFT($B6,FIND("/",$B6)-1),SUM(LEFT($B6,FIND("/",$B6)-1),RIGHT($B6,LEN($B6)-FIND("/",$B6))))))</f>
        <v>0</v>
      </c>
      <c r="AY6" s="72">
        <f t="shared" ref="AY6:AY44" si="18">_xlfn.NUMBERVALUE(IF(U6=0,0,IF(U6=1,LEFT($B6,FIND("/",$B6)-1),SUM(LEFT($B6,FIND("/",$B6)-1),RIGHT($B6,LEN($B6)-FIND("/",$B6))))))</f>
        <v>0</v>
      </c>
      <c r="AZ6" s="72">
        <f t="shared" ref="AZ6:AZ44" si="19">_xlfn.NUMBERVALUE(IF(V6=0,0,IF(V6=1,LEFT($B6,FIND("/",$B6)-1),SUM(LEFT($B6,FIND("/",$B6)-1),RIGHT($B6,LEN($B6)-FIND("/",$B6))))))</f>
        <v>0</v>
      </c>
      <c r="BA6" s="72">
        <f t="shared" ref="BA6:BA44" si="20">_xlfn.NUMBERVALUE(IF(W6=0,0,IF(W6=1,LEFT($B6,FIND("/",$B6)-1),SUM(LEFT($B6,FIND("/",$B6)-1),RIGHT($B6,LEN($B6)-FIND("/",$B6))))))</f>
        <v>0</v>
      </c>
      <c r="BB6" s="72">
        <f t="shared" ref="BB6:BB44" si="21">_xlfn.NUMBERVALUE(IF(X6=0,0,IF(X6=1,LEFT($B6,FIND("/",$B6)-1),SUM(LEFT($B6,FIND("/",$B6)-1),RIGHT($B6,LEN($B6)-FIND("/",$B6))))))</f>
        <v>0</v>
      </c>
      <c r="BC6" s="72">
        <f t="shared" ref="BC6:BC44" si="22">_xlfn.NUMBERVALUE(IF(Y6=0,0,IF(Y6=1,LEFT($B6,FIND("/",$B6)-1),SUM(LEFT($B6,FIND("/",$B6)-1),RIGHT($B6,LEN($B6)-FIND("/",$B6))))))</f>
        <v>0</v>
      </c>
      <c r="BD6" s="72">
        <f t="shared" ref="BD6:BD44" si="23">_xlfn.NUMBERVALUE(IF(Z6=0,0,IF(Z6=1,LEFT($B6,FIND("/",$B6)-1),SUM(LEFT($B6,FIND("/",$B6)-1),RIGHT($B6,LEN($B6)-FIND("/",$B6))))))</f>
        <v>0</v>
      </c>
      <c r="BE6" s="72">
        <f t="shared" ref="BE6:BE44" si="24">_xlfn.NUMBERVALUE(IF(AA6=0,0,IF(AA6=1,LEFT($B6,FIND("/",$B6)-1),SUM(LEFT($B6,FIND("/",$B6)-1),RIGHT($B6,LEN($B6)-FIND("/",$B6))))))</f>
        <v>0</v>
      </c>
      <c r="BF6" s="72">
        <f t="shared" ref="BF6:BF44" si="25">_xlfn.NUMBERVALUE(IF(AB6=0,0,IF(AB6=1,LEFT($B6,FIND("/",$B6)-1),SUM(LEFT($B6,FIND("/",$B6)-1),RIGHT($B6,LEN($B6)-FIND("/",$B6))))))</f>
        <v>0</v>
      </c>
    </row>
    <row r="7" spans="1:58" x14ac:dyDescent="0.25">
      <c r="A7" s="34" t="s">
        <v>93</v>
      </c>
      <c r="B7" s="1" t="e">
        <f t="shared" si="4"/>
        <v>#N/A</v>
      </c>
      <c r="C7" s="1"/>
      <c r="D7" s="1"/>
      <c r="E7" t="s">
        <v>94</v>
      </c>
      <c r="F7" s="77" t="str">
        <f>Worksheet!L34</f>
        <v>Horses</v>
      </c>
      <c r="G7" s="1" t="s">
        <v>96</v>
      </c>
      <c r="H7" s="1">
        <f>Worksheet!P34</f>
        <v>0</v>
      </c>
      <c r="AC7" s="1">
        <f>SUM(I7:INDEX(I7:AB7,Level))+H7</f>
        <v>0</v>
      </c>
      <c r="AD7" s="45">
        <f t="shared" si="5"/>
        <v>-25</v>
      </c>
      <c r="AE7" s="45" cm="1">
        <f t="array" aca="1" ref="AE7" ca="1">IF(G7="NA",0,INDIRECT(LEFT(G7,2))+INDIRECT(MID(G7,4,2))+INDIRECT(RIGHT(G7,2)))</f>
        <v>0</v>
      </c>
      <c r="AF7" s="45">
        <f t="shared" ref="AF7:AF77" si="26">IF(C7="X",MIN(30,AC7),0)</f>
        <v>0</v>
      </c>
      <c r="AG7" s="45">
        <f t="shared" ref="AG7:AG77" si="27">IF(D7="X",5,0)</f>
        <v>0</v>
      </c>
      <c r="AH7" s="45"/>
      <c r="AI7" s="51">
        <f t="shared" ref="AI7:AI70" ca="1" si="28">SUM(AD7:AH7)</f>
        <v>-25</v>
      </c>
      <c r="AM7" s="72">
        <f t="shared" si="6"/>
        <v>0</v>
      </c>
      <c r="AN7" s="72">
        <f t="shared" si="7"/>
        <v>0</v>
      </c>
      <c r="AO7" s="72">
        <f t="shared" si="8"/>
        <v>0</v>
      </c>
      <c r="AP7" s="72">
        <f t="shared" si="9"/>
        <v>0</v>
      </c>
      <c r="AQ7" s="72">
        <f t="shared" si="10"/>
        <v>0</v>
      </c>
      <c r="AR7" s="72">
        <f t="shared" si="11"/>
        <v>0</v>
      </c>
      <c r="AS7" s="72">
        <f t="shared" si="12"/>
        <v>0</v>
      </c>
      <c r="AT7" s="72">
        <f t="shared" si="13"/>
        <v>0</v>
      </c>
      <c r="AU7" s="72">
        <f t="shared" si="14"/>
        <v>0</v>
      </c>
      <c r="AV7" s="72">
        <f t="shared" si="15"/>
        <v>0</v>
      </c>
      <c r="AW7" s="72">
        <f t="shared" si="16"/>
        <v>0</v>
      </c>
      <c r="AX7" s="72">
        <f t="shared" si="17"/>
        <v>0</v>
      </c>
      <c r="AY7" s="72">
        <f t="shared" si="18"/>
        <v>0</v>
      </c>
      <c r="AZ7" s="72">
        <f t="shared" si="19"/>
        <v>0</v>
      </c>
      <c r="BA7" s="72">
        <f t="shared" si="20"/>
        <v>0</v>
      </c>
      <c r="BB7" s="72">
        <f t="shared" si="21"/>
        <v>0</v>
      </c>
      <c r="BC7" s="72">
        <f t="shared" si="22"/>
        <v>0</v>
      </c>
      <c r="BD7" s="72">
        <f t="shared" si="23"/>
        <v>0</v>
      </c>
      <c r="BE7" s="72">
        <f t="shared" si="24"/>
        <v>0</v>
      </c>
      <c r="BF7" s="72">
        <f t="shared" si="25"/>
        <v>0</v>
      </c>
    </row>
    <row r="8" spans="1:58" x14ac:dyDescent="0.25">
      <c r="A8" s="34" t="s">
        <v>93</v>
      </c>
      <c r="B8" s="1" t="e">
        <f t="shared" si="4"/>
        <v>#N/A</v>
      </c>
      <c r="C8" s="1"/>
      <c r="D8" s="1"/>
      <c r="E8" t="s">
        <v>95</v>
      </c>
      <c r="F8" s="77" t="str">
        <f>Worksheet!L35</f>
        <v>Horses</v>
      </c>
      <c r="G8" s="1" t="s">
        <v>96</v>
      </c>
      <c r="H8" s="1">
        <f>Worksheet!P35</f>
        <v>0</v>
      </c>
      <c r="AC8" s="1">
        <f>SUM(I8:INDEX(I8:AB8,Level))+H8</f>
        <v>0</v>
      </c>
      <c r="AD8" s="45">
        <f t="shared" si="5"/>
        <v>-25</v>
      </c>
      <c r="AE8" s="45" cm="1">
        <f t="array" aca="1" ref="AE8" ca="1">IF(G8="NA",0,INDIRECT(LEFT(G8,2))+INDIRECT(MID(G8,4,2))+INDIRECT(RIGHT(G8,2)))</f>
        <v>0</v>
      </c>
      <c r="AF8" s="45">
        <f t="shared" si="26"/>
        <v>0</v>
      </c>
      <c r="AG8" s="45">
        <f t="shared" si="27"/>
        <v>0</v>
      </c>
      <c r="AH8" s="45"/>
      <c r="AI8" s="51">
        <f t="shared" ca="1" si="28"/>
        <v>-25</v>
      </c>
      <c r="AM8" s="72">
        <f t="shared" si="6"/>
        <v>0</v>
      </c>
      <c r="AN8" s="72">
        <f t="shared" si="7"/>
        <v>0</v>
      </c>
      <c r="AO8" s="72">
        <f t="shared" si="8"/>
        <v>0</v>
      </c>
      <c r="AP8" s="72">
        <f t="shared" si="9"/>
        <v>0</v>
      </c>
      <c r="AQ8" s="72">
        <f t="shared" si="10"/>
        <v>0</v>
      </c>
      <c r="AR8" s="72">
        <f t="shared" si="11"/>
        <v>0</v>
      </c>
      <c r="AS8" s="72">
        <f t="shared" si="12"/>
        <v>0</v>
      </c>
      <c r="AT8" s="72">
        <f t="shared" si="13"/>
        <v>0</v>
      </c>
      <c r="AU8" s="72">
        <f t="shared" si="14"/>
        <v>0</v>
      </c>
      <c r="AV8" s="72">
        <f t="shared" si="15"/>
        <v>0</v>
      </c>
      <c r="AW8" s="72">
        <f t="shared" si="16"/>
        <v>0</v>
      </c>
      <c r="AX8" s="72">
        <f t="shared" si="17"/>
        <v>0</v>
      </c>
      <c r="AY8" s="72">
        <f t="shared" si="18"/>
        <v>0</v>
      </c>
      <c r="AZ8" s="72">
        <f t="shared" si="19"/>
        <v>0</v>
      </c>
      <c r="BA8" s="72">
        <f t="shared" si="20"/>
        <v>0</v>
      </c>
      <c r="BB8" s="72">
        <f t="shared" si="21"/>
        <v>0</v>
      </c>
      <c r="BC8" s="72">
        <f t="shared" si="22"/>
        <v>0</v>
      </c>
      <c r="BD8" s="72">
        <f t="shared" si="23"/>
        <v>0</v>
      </c>
      <c r="BE8" s="72">
        <f t="shared" si="24"/>
        <v>0</v>
      </c>
      <c r="BF8" s="72">
        <f t="shared" si="25"/>
        <v>0</v>
      </c>
    </row>
    <row r="9" spans="1:58" x14ac:dyDescent="0.25">
      <c r="A9" s="34" t="s">
        <v>93</v>
      </c>
      <c r="B9" s="1" t="e">
        <f t="shared" si="4"/>
        <v>#N/A</v>
      </c>
      <c r="C9" s="1"/>
      <c r="D9" s="1"/>
      <c r="E9" t="s">
        <v>95</v>
      </c>
      <c r="F9" s="77">
        <f>Worksheet!L36</f>
        <v>0</v>
      </c>
      <c r="G9" s="1" t="s">
        <v>96</v>
      </c>
      <c r="H9" s="1">
        <f>Worksheet!P36</f>
        <v>0</v>
      </c>
      <c r="AC9" s="1">
        <f>SUM(I9:INDEX(I9:AB9,Level))+H9</f>
        <v>0</v>
      </c>
      <c r="AD9" s="45">
        <f t="shared" si="5"/>
        <v>-25</v>
      </c>
      <c r="AE9" s="45" cm="1">
        <f t="array" aca="1" ref="AE9" ca="1">IF(G9="NA",0,INDIRECT(LEFT(G9,2))+INDIRECT(MID(G9,4,2))+INDIRECT(RIGHT(G9,2)))</f>
        <v>0</v>
      </c>
      <c r="AF9" s="45">
        <f t="shared" si="26"/>
        <v>0</v>
      </c>
      <c r="AG9" s="45">
        <f t="shared" si="27"/>
        <v>0</v>
      </c>
      <c r="AH9" s="45"/>
      <c r="AI9" s="51">
        <f t="shared" ca="1" si="28"/>
        <v>-25</v>
      </c>
      <c r="AM9" s="72">
        <f t="shared" si="6"/>
        <v>0</v>
      </c>
      <c r="AN9" s="72">
        <f t="shared" si="7"/>
        <v>0</v>
      </c>
      <c r="AO9" s="72">
        <f t="shared" si="8"/>
        <v>0</v>
      </c>
      <c r="AP9" s="72">
        <f t="shared" si="9"/>
        <v>0</v>
      </c>
      <c r="AQ9" s="72">
        <f t="shared" si="10"/>
        <v>0</v>
      </c>
      <c r="AR9" s="72">
        <f t="shared" si="11"/>
        <v>0</v>
      </c>
      <c r="AS9" s="72">
        <f t="shared" si="12"/>
        <v>0</v>
      </c>
      <c r="AT9" s="72">
        <f t="shared" si="13"/>
        <v>0</v>
      </c>
      <c r="AU9" s="72">
        <f t="shared" si="14"/>
        <v>0</v>
      </c>
      <c r="AV9" s="72">
        <f t="shared" si="15"/>
        <v>0</v>
      </c>
      <c r="AW9" s="72">
        <f t="shared" si="16"/>
        <v>0</v>
      </c>
      <c r="AX9" s="72">
        <f t="shared" si="17"/>
        <v>0</v>
      </c>
      <c r="AY9" s="72">
        <f t="shared" si="18"/>
        <v>0</v>
      </c>
      <c r="AZ9" s="72">
        <f t="shared" si="19"/>
        <v>0</v>
      </c>
      <c r="BA9" s="72">
        <f t="shared" si="20"/>
        <v>0</v>
      </c>
      <c r="BB9" s="72">
        <f t="shared" si="21"/>
        <v>0</v>
      </c>
      <c r="BC9" s="72">
        <f t="shared" si="22"/>
        <v>0</v>
      </c>
      <c r="BD9" s="72">
        <f t="shared" si="23"/>
        <v>0</v>
      </c>
      <c r="BE9" s="72">
        <f t="shared" si="24"/>
        <v>0</v>
      </c>
      <c r="BF9" s="72">
        <f t="shared" si="25"/>
        <v>0</v>
      </c>
    </row>
    <row r="10" spans="1:58" x14ac:dyDescent="0.25">
      <c r="A10" s="89" t="s">
        <v>100</v>
      </c>
      <c r="B10" s="90" t="e">
        <f t="shared" si="4"/>
        <v>#N/A</v>
      </c>
      <c r="C10" s="90"/>
      <c r="D10" s="90"/>
      <c r="E10" s="91" t="s">
        <v>101</v>
      </c>
      <c r="F10" s="79"/>
      <c r="G10" s="90" t="s">
        <v>103</v>
      </c>
      <c r="H10" s="90" t="e">
        <f>Worksheet!P11</f>
        <v>#N/A</v>
      </c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 t="e">
        <f>SUM(I10:INDEX(I10:AB10,Level))+H10</f>
        <v>#N/A</v>
      </c>
      <c r="AD10" s="92" t="e">
        <f t="shared" si="5"/>
        <v>#N/A</v>
      </c>
      <c r="AE10" s="92" cm="1">
        <f t="array" aca="1" ref="AE10" ca="1">IF(G10="NA",0,INDIRECT(LEFT(G10,2))+INDIRECT(MID(G10,4,2))+INDIRECT(RIGHT(G10,2)))</f>
        <v>0</v>
      </c>
      <c r="AF10" s="92">
        <f t="shared" si="26"/>
        <v>0</v>
      </c>
      <c r="AG10" s="92">
        <f t="shared" si="27"/>
        <v>0</v>
      </c>
      <c r="AH10" s="92">
        <f>Front!O30</f>
        <v>0</v>
      </c>
      <c r="AI10" s="93" t="e">
        <f t="shared" si="28"/>
        <v>#N/A</v>
      </c>
      <c r="AM10" s="72">
        <f t="shared" si="6"/>
        <v>0</v>
      </c>
      <c r="AN10" s="72">
        <f t="shared" si="7"/>
        <v>0</v>
      </c>
      <c r="AO10" s="72">
        <f t="shared" si="8"/>
        <v>0</v>
      </c>
      <c r="AP10" s="72">
        <f t="shared" si="9"/>
        <v>0</v>
      </c>
      <c r="AQ10" s="72">
        <f t="shared" si="10"/>
        <v>0</v>
      </c>
      <c r="AR10" s="72">
        <f t="shared" si="11"/>
        <v>0</v>
      </c>
      <c r="AS10" s="72">
        <f t="shared" si="12"/>
        <v>0</v>
      </c>
      <c r="AT10" s="72">
        <f t="shared" si="13"/>
        <v>0</v>
      </c>
      <c r="AU10" s="72">
        <f t="shared" si="14"/>
        <v>0</v>
      </c>
      <c r="AV10" s="72">
        <f t="shared" si="15"/>
        <v>0</v>
      </c>
      <c r="AW10" s="72">
        <f t="shared" si="16"/>
        <v>0</v>
      </c>
      <c r="AX10" s="72">
        <f t="shared" si="17"/>
        <v>0</v>
      </c>
      <c r="AY10" s="72">
        <f t="shared" si="18"/>
        <v>0</v>
      </c>
      <c r="AZ10" s="72">
        <f t="shared" si="19"/>
        <v>0</v>
      </c>
      <c r="BA10" s="72">
        <f t="shared" si="20"/>
        <v>0</v>
      </c>
      <c r="BB10" s="72">
        <f t="shared" si="21"/>
        <v>0</v>
      </c>
      <c r="BC10" s="72">
        <f t="shared" si="22"/>
        <v>0</v>
      </c>
      <c r="BD10" s="72">
        <f t="shared" si="23"/>
        <v>0</v>
      </c>
      <c r="BE10" s="72">
        <f t="shared" si="24"/>
        <v>0</v>
      </c>
      <c r="BF10" s="72">
        <f t="shared" si="25"/>
        <v>0</v>
      </c>
    </row>
    <row r="11" spans="1:58" x14ac:dyDescent="0.25">
      <c r="A11" s="34" t="s">
        <v>100</v>
      </c>
      <c r="B11" s="1" t="e">
        <f t="shared" si="4"/>
        <v>#N/A</v>
      </c>
      <c r="C11" s="1"/>
      <c r="D11" s="1"/>
      <c r="E11" t="s">
        <v>102</v>
      </c>
      <c r="F11" s="79"/>
      <c r="G11" s="1" t="s">
        <v>103</v>
      </c>
      <c r="H11" s="1" t="e">
        <f>Worksheet!P12</f>
        <v>#N/A</v>
      </c>
      <c r="AC11" s="1" t="e">
        <f>SUM(I11:INDEX(I11:AB11,Level))+H11</f>
        <v>#N/A</v>
      </c>
      <c r="AD11" s="45" t="e">
        <f t="shared" si="5"/>
        <v>#N/A</v>
      </c>
      <c r="AE11" s="45" cm="1">
        <f t="array" aca="1" ref="AE11" ca="1">IF(G11="NA",0,INDIRECT(LEFT(G11,2))+INDIRECT(MID(G11,4,2))+INDIRECT(RIGHT(G11,2)))</f>
        <v>0</v>
      </c>
      <c r="AF11" s="45">
        <f t="shared" si="26"/>
        <v>0</v>
      </c>
      <c r="AG11" s="45">
        <f t="shared" si="27"/>
        <v>0</v>
      </c>
      <c r="AH11" s="45"/>
      <c r="AI11" s="51" t="e">
        <f t="shared" si="28"/>
        <v>#N/A</v>
      </c>
      <c r="AM11" s="72">
        <f t="shared" si="6"/>
        <v>0</v>
      </c>
      <c r="AN11" s="72">
        <f t="shared" si="7"/>
        <v>0</v>
      </c>
      <c r="AO11" s="72">
        <f t="shared" si="8"/>
        <v>0</v>
      </c>
      <c r="AP11" s="72">
        <f t="shared" si="9"/>
        <v>0</v>
      </c>
      <c r="AQ11" s="72">
        <f t="shared" si="10"/>
        <v>0</v>
      </c>
      <c r="AR11" s="72">
        <f t="shared" si="11"/>
        <v>0</v>
      </c>
      <c r="AS11" s="72">
        <f t="shared" si="12"/>
        <v>0</v>
      </c>
      <c r="AT11" s="72">
        <f t="shared" si="13"/>
        <v>0</v>
      </c>
      <c r="AU11" s="72">
        <f t="shared" si="14"/>
        <v>0</v>
      </c>
      <c r="AV11" s="72">
        <f t="shared" si="15"/>
        <v>0</v>
      </c>
      <c r="AW11" s="72">
        <f t="shared" si="16"/>
        <v>0</v>
      </c>
      <c r="AX11" s="72">
        <f t="shared" si="17"/>
        <v>0</v>
      </c>
      <c r="AY11" s="72">
        <f t="shared" si="18"/>
        <v>0</v>
      </c>
      <c r="AZ11" s="72">
        <f t="shared" si="19"/>
        <v>0</v>
      </c>
      <c r="BA11" s="72">
        <f t="shared" si="20"/>
        <v>0</v>
      </c>
      <c r="BB11" s="72">
        <f t="shared" si="21"/>
        <v>0</v>
      </c>
      <c r="BC11" s="72">
        <f t="shared" si="22"/>
        <v>0</v>
      </c>
      <c r="BD11" s="72">
        <f t="shared" si="23"/>
        <v>0</v>
      </c>
      <c r="BE11" s="72">
        <f t="shared" si="24"/>
        <v>0</v>
      </c>
      <c r="BF11" s="72">
        <f t="shared" si="25"/>
        <v>0</v>
      </c>
    </row>
    <row r="12" spans="1:58" x14ac:dyDescent="0.25">
      <c r="A12" s="34" t="s">
        <v>104</v>
      </c>
      <c r="B12" s="1" t="e">
        <f t="shared" si="4"/>
        <v>#N/A</v>
      </c>
      <c r="C12" s="1"/>
      <c r="D12" s="1"/>
      <c r="E12" t="s">
        <v>315</v>
      </c>
      <c r="F12" s="79"/>
      <c r="G12" s="1" t="s">
        <v>109</v>
      </c>
      <c r="H12" s="1" t="e">
        <f>Worksheet!P13</f>
        <v>#N/A</v>
      </c>
      <c r="AC12" s="1" t="e">
        <f>SUM(I12:INDEX(I12:AB12,Level))+H12</f>
        <v>#N/A</v>
      </c>
      <c r="AD12" s="45" t="e">
        <f t="shared" si="5"/>
        <v>#N/A</v>
      </c>
      <c r="AE12" s="45" cm="1">
        <f t="array" aca="1" ref="AE12" ca="1">IF(G12="NA",0,INDIRECT(LEFT(G12,2))+INDIRECT(MID(G12,4,2))+INDIRECT(RIGHT(G12,2)))</f>
        <v>0</v>
      </c>
      <c r="AF12" s="45">
        <f t="shared" si="26"/>
        <v>0</v>
      </c>
      <c r="AG12" s="45">
        <f t="shared" si="27"/>
        <v>0</v>
      </c>
      <c r="AH12" s="45"/>
      <c r="AI12" s="51" t="e">
        <f t="shared" si="28"/>
        <v>#N/A</v>
      </c>
      <c r="AM12" s="72">
        <f t="shared" si="6"/>
        <v>0</v>
      </c>
      <c r="AN12" s="72">
        <f t="shared" si="7"/>
        <v>0</v>
      </c>
      <c r="AO12" s="72">
        <f t="shared" si="8"/>
        <v>0</v>
      </c>
      <c r="AP12" s="72">
        <f t="shared" si="9"/>
        <v>0</v>
      </c>
      <c r="AQ12" s="72">
        <f t="shared" si="10"/>
        <v>0</v>
      </c>
      <c r="AR12" s="72">
        <f t="shared" si="11"/>
        <v>0</v>
      </c>
      <c r="AS12" s="72">
        <f t="shared" si="12"/>
        <v>0</v>
      </c>
      <c r="AT12" s="72">
        <f t="shared" si="13"/>
        <v>0</v>
      </c>
      <c r="AU12" s="72">
        <f t="shared" si="14"/>
        <v>0</v>
      </c>
      <c r="AV12" s="72">
        <f t="shared" si="15"/>
        <v>0</v>
      </c>
      <c r="AW12" s="72">
        <f t="shared" si="16"/>
        <v>0</v>
      </c>
      <c r="AX12" s="72">
        <f t="shared" si="17"/>
        <v>0</v>
      </c>
      <c r="AY12" s="72">
        <f t="shared" si="18"/>
        <v>0</v>
      </c>
      <c r="AZ12" s="72">
        <f t="shared" si="19"/>
        <v>0</v>
      </c>
      <c r="BA12" s="72">
        <f t="shared" si="20"/>
        <v>0</v>
      </c>
      <c r="BB12" s="72">
        <f t="shared" si="21"/>
        <v>0</v>
      </c>
      <c r="BC12" s="72">
        <f t="shared" si="22"/>
        <v>0</v>
      </c>
      <c r="BD12" s="72">
        <f t="shared" si="23"/>
        <v>0</v>
      </c>
      <c r="BE12" s="72">
        <f t="shared" si="24"/>
        <v>0</v>
      </c>
      <c r="BF12" s="72">
        <f t="shared" si="25"/>
        <v>0</v>
      </c>
    </row>
    <row r="13" spans="1:58" x14ac:dyDescent="0.25">
      <c r="A13" s="34" t="s">
        <v>104</v>
      </c>
      <c r="B13" s="1" t="e">
        <f t="shared" si="4"/>
        <v>#N/A</v>
      </c>
      <c r="C13" s="1"/>
      <c r="D13" s="1"/>
      <c r="E13" t="s">
        <v>105</v>
      </c>
      <c r="F13" s="79"/>
      <c r="G13" s="1" t="s">
        <v>109</v>
      </c>
      <c r="H13" s="76"/>
      <c r="AC13" s="1">
        <f>SUM(I13:INDEX(I13:AB13,Level))+H13</f>
        <v>0</v>
      </c>
      <c r="AD13" s="45">
        <f t="shared" si="5"/>
        <v>-25</v>
      </c>
      <c r="AE13" s="45" cm="1">
        <f t="array" aca="1" ref="AE13" ca="1">IF(G13="NA",0,INDIRECT(LEFT(G13,2))+INDIRECT(MID(G13,4,2))+INDIRECT(RIGHT(G13,2)))</f>
        <v>0</v>
      </c>
      <c r="AF13" s="45">
        <f t="shared" si="26"/>
        <v>0</v>
      </c>
      <c r="AG13" s="45">
        <f t="shared" si="27"/>
        <v>0</v>
      </c>
      <c r="AH13" s="45"/>
      <c r="AI13" s="51">
        <f t="shared" ca="1" si="28"/>
        <v>-25</v>
      </c>
      <c r="AM13" s="72">
        <f t="shared" si="6"/>
        <v>0</v>
      </c>
      <c r="AN13" s="72">
        <f t="shared" si="7"/>
        <v>0</v>
      </c>
      <c r="AO13" s="72">
        <f t="shared" si="8"/>
        <v>0</v>
      </c>
      <c r="AP13" s="72">
        <f t="shared" si="9"/>
        <v>0</v>
      </c>
      <c r="AQ13" s="72">
        <f t="shared" si="10"/>
        <v>0</v>
      </c>
      <c r="AR13" s="72">
        <f t="shared" si="11"/>
        <v>0</v>
      </c>
      <c r="AS13" s="72">
        <f t="shared" si="12"/>
        <v>0</v>
      </c>
      <c r="AT13" s="72">
        <f t="shared" si="13"/>
        <v>0</v>
      </c>
      <c r="AU13" s="72">
        <f t="shared" si="14"/>
        <v>0</v>
      </c>
      <c r="AV13" s="72">
        <f t="shared" si="15"/>
        <v>0</v>
      </c>
      <c r="AW13" s="72">
        <f t="shared" si="16"/>
        <v>0</v>
      </c>
      <c r="AX13" s="72">
        <f t="shared" si="17"/>
        <v>0</v>
      </c>
      <c r="AY13" s="72">
        <f t="shared" si="18"/>
        <v>0</v>
      </c>
      <c r="AZ13" s="72">
        <f t="shared" si="19"/>
        <v>0</v>
      </c>
      <c r="BA13" s="72">
        <f t="shared" si="20"/>
        <v>0</v>
      </c>
      <c r="BB13" s="72">
        <f t="shared" si="21"/>
        <v>0</v>
      </c>
      <c r="BC13" s="72">
        <f t="shared" si="22"/>
        <v>0</v>
      </c>
      <c r="BD13" s="72">
        <f t="shared" si="23"/>
        <v>0</v>
      </c>
      <c r="BE13" s="72">
        <f t="shared" si="24"/>
        <v>0</v>
      </c>
      <c r="BF13" s="72">
        <f t="shared" si="25"/>
        <v>0</v>
      </c>
    </row>
    <row r="14" spans="1:58" x14ac:dyDescent="0.25">
      <c r="A14" s="34" t="s">
        <v>104</v>
      </c>
      <c r="B14" s="1" t="e">
        <f t="shared" si="4"/>
        <v>#N/A</v>
      </c>
      <c r="C14" s="1"/>
      <c r="D14" s="1"/>
      <c r="E14" t="s">
        <v>106</v>
      </c>
      <c r="F14" s="79"/>
      <c r="G14" s="1" t="s">
        <v>109</v>
      </c>
      <c r="H14" s="76"/>
      <c r="AC14" s="1">
        <f>SUM(I14:INDEX(I14:AB14,Level))+H14</f>
        <v>0</v>
      </c>
      <c r="AD14" s="45">
        <f t="shared" si="5"/>
        <v>-25</v>
      </c>
      <c r="AE14" s="45" cm="1">
        <f t="array" aca="1" ref="AE14" ca="1">IF(G14="NA",0,INDIRECT(LEFT(G14,2))+INDIRECT(MID(G14,4,2))+INDIRECT(RIGHT(G14,2)))</f>
        <v>0</v>
      </c>
      <c r="AF14" s="45">
        <f t="shared" si="26"/>
        <v>0</v>
      </c>
      <c r="AG14" s="45">
        <f t="shared" si="27"/>
        <v>0</v>
      </c>
      <c r="AH14" s="45"/>
      <c r="AI14" s="51">
        <f t="shared" ca="1" si="28"/>
        <v>-25</v>
      </c>
      <c r="AM14" s="72">
        <f t="shared" si="6"/>
        <v>0</v>
      </c>
      <c r="AN14" s="72">
        <f t="shared" si="7"/>
        <v>0</v>
      </c>
      <c r="AO14" s="72">
        <f t="shared" si="8"/>
        <v>0</v>
      </c>
      <c r="AP14" s="72">
        <f t="shared" si="9"/>
        <v>0</v>
      </c>
      <c r="AQ14" s="72">
        <f t="shared" si="10"/>
        <v>0</v>
      </c>
      <c r="AR14" s="72">
        <f t="shared" si="11"/>
        <v>0</v>
      </c>
      <c r="AS14" s="72">
        <f t="shared" si="12"/>
        <v>0</v>
      </c>
      <c r="AT14" s="72">
        <f t="shared" si="13"/>
        <v>0</v>
      </c>
      <c r="AU14" s="72">
        <f t="shared" si="14"/>
        <v>0</v>
      </c>
      <c r="AV14" s="72">
        <f t="shared" si="15"/>
        <v>0</v>
      </c>
      <c r="AW14" s="72">
        <f t="shared" si="16"/>
        <v>0</v>
      </c>
      <c r="AX14" s="72">
        <f t="shared" si="17"/>
        <v>0</v>
      </c>
      <c r="AY14" s="72">
        <f t="shared" si="18"/>
        <v>0</v>
      </c>
      <c r="AZ14" s="72">
        <f t="shared" si="19"/>
        <v>0</v>
      </c>
      <c r="BA14" s="72">
        <f t="shared" si="20"/>
        <v>0</v>
      </c>
      <c r="BB14" s="72">
        <f t="shared" si="21"/>
        <v>0</v>
      </c>
      <c r="BC14" s="72">
        <f t="shared" si="22"/>
        <v>0</v>
      </c>
      <c r="BD14" s="72">
        <f t="shared" si="23"/>
        <v>0</v>
      </c>
      <c r="BE14" s="72">
        <f t="shared" si="24"/>
        <v>0</v>
      </c>
      <c r="BF14" s="72">
        <f t="shared" si="25"/>
        <v>0</v>
      </c>
    </row>
    <row r="15" spans="1:58" x14ac:dyDescent="0.25">
      <c r="A15" s="34" t="s">
        <v>104</v>
      </c>
      <c r="B15" s="1" t="e">
        <f t="shared" si="4"/>
        <v>#N/A</v>
      </c>
      <c r="C15" s="1"/>
      <c r="D15" s="1"/>
      <c r="E15" t="s">
        <v>107</v>
      </c>
      <c r="F15" s="79"/>
      <c r="G15" s="1" t="s">
        <v>109</v>
      </c>
      <c r="H15" s="76"/>
      <c r="AC15" s="1">
        <f>SUM(I15:INDEX(I15:AB15,Level))+H15</f>
        <v>0</v>
      </c>
      <c r="AD15" s="45">
        <f t="shared" si="5"/>
        <v>-25</v>
      </c>
      <c r="AE15" s="45" cm="1">
        <f t="array" aca="1" ref="AE15" ca="1">IF(G15="NA",0,INDIRECT(LEFT(G15,2))+INDIRECT(MID(G15,4,2))+INDIRECT(RIGHT(G15,2)))</f>
        <v>0</v>
      </c>
      <c r="AF15" s="45">
        <f t="shared" si="26"/>
        <v>0</v>
      </c>
      <c r="AG15" s="45">
        <f t="shared" si="27"/>
        <v>0</v>
      </c>
      <c r="AH15" s="45"/>
      <c r="AI15" s="51">
        <f t="shared" ca="1" si="28"/>
        <v>-25</v>
      </c>
      <c r="AM15" s="72">
        <f t="shared" si="6"/>
        <v>0</v>
      </c>
      <c r="AN15" s="72">
        <f t="shared" si="7"/>
        <v>0</v>
      </c>
      <c r="AO15" s="72">
        <f t="shared" si="8"/>
        <v>0</v>
      </c>
      <c r="AP15" s="72">
        <f t="shared" si="9"/>
        <v>0</v>
      </c>
      <c r="AQ15" s="72">
        <f t="shared" si="10"/>
        <v>0</v>
      </c>
      <c r="AR15" s="72">
        <f t="shared" si="11"/>
        <v>0</v>
      </c>
      <c r="AS15" s="72">
        <f t="shared" si="12"/>
        <v>0</v>
      </c>
      <c r="AT15" s="72">
        <f t="shared" si="13"/>
        <v>0</v>
      </c>
      <c r="AU15" s="72">
        <f t="shared" si="14"/>
        <v>0</v>
      </c>
      <c r="AV15" s="72">
        <f t="shared" si="15"/>
        <v>0</v>
      </c>
      <c r="AW15" s="72">
        <f t="shared" si="16"/>
        <v>0</v>
      </c>
      <c r="AX15" s="72">
        <f t="shared" si="17"/>
        <v>0</v>
      </c>
      <c r="AY15" s="72">
        <f t="shared" si="18"/>
        <v>0</v>
      </c>
      <c r="AZ15" s="72">
        <f t="shared" si="19"/>
        <v>0</v>
      </c>
      <c r="BA15" s="72">
        <f t="shared" si="20"/>
        <v>0</v>
      </c>
      <c r="BB15" s="72">
        <f t="shared" si="21"/>
        <v>0</v>
      </c>
      <c r="BC15" s="72">
        <f t="shared" si="22"/>
        <v>0</v>
      </c>
      <c r="BD15" s="72">
        <f t="shared" si="23"/>
        <v>0</v>
      </c>
      <c r="BE15" s="72">
        <f t="shared" si="24"/>
        <v>0</v>
      </c>
      <c r="BF15" s="72">
        <f t="shared" si="25"/>
        <v>0</v>
      </c>
    </row>
    <row r="16" spans="1:58" x14ac:dyDescent="0.25">
      <c r="A16" s="34" t="s">
        <v>104</v>
      </c>
      <c r="B16" s="1" t="e">
        <f t="shared" si="4"/>
        <v>#N/A</v>
      </c>
      <c r="C16" s="1"/>
      <c r="D16" s="1"/>
      <c r="E16" t="s">
        <v>108</v>
      </c>
      <c r="F16" s="79"/>
      <c r="G16" s="1" t="s">
        <v>109</v>
      </c>
      <c r="H16" s="76"/>
      <c r="AC16" s="1">
        <f>SUM(I16:INDEX(I16:AB16,Level))+H16</f>
        <v>0</v>
      </c>
      <c r="AD16" s="45">
        <f t="shared" si="5"/>
        <v>-25</v>
      </c>
      <c r="AE16" s="45" cm="1">
        <f t="array" aca="1" ref="AE16" ca="1">IF(G16="NA",0,INDIRECT(LEFT(G16,2))+INDIRECT(MID(G16,4,2))+INDIRECT(RIGHT(G16,2)))</f>
        <v>0</v>
      </c>
      <c r="AF16" s="45">
        <f t="shared" si="26"/>
        <v>0</v>
      </c>
      <c r="AG16" s="45">
        <f t="shared" si="27"/>
        <v>0</v>
      </c>
      <c r="AH16" s="45"/>
      <c r="AI16" s="51">
        <f t="shared" ca="1" si="28"/>
        <v>-25</v>
      </c>
      <c r="AM16" s="72">
        <f t="shared" si="6"/>
        <v>0</v>
      </c>
      <c r="AN16" s="72">
        <f t="shared" si="7"/>
        <v>0</v>
      </c>
      <c r="AO16" s="72">
        <f t="shared" si="8"/>
        <v>0</v>
      </c>
      <c r="AP16" s="72">
        <f t="shared" si="9"/>
        <v>0</v>
      </c>
      <c r="AQ16" s="72">
        <f t="shared" si="10"/>
        <v>0</v>
      </c>
      <c r="AR16" s="72">
        <f t="shared" si="11"/>
        <v>0</v>
      </c>
      <c r="AS16" s="72">
        <f t="shared" si="12"/>
        <v>0</v>
      </c>
      <c r="AT16" s="72">
        <f t="shared" si="13"/>
        <v>0</v>
      </c>
      <c r="AU16" s="72">
        <f t="shared" si="14"/>
        <v>0</v>
      </c>
      <c r="AV16" s="72">
        <f t="shared" si="15"/>
        <v>0</v>
      </c>
      <c r="AW16" s="72">
        <f t="shared" si="16"/>
        <v>0</v>
      </c>
      <c r="AX16" s="72">
        <f t="shared" si="17"/>
        <v>0</v>
      </c>
      <c r="AY16" s="72">
        <f t="shared" si="18"/>
        <v>0</v>
      </c>
      <c r="AZ16" s="72">
        <f t="shared" si="19"/>
        <v>0</v>
      </c>
      <c r="BA16" s="72">
        <f t="shared" si="20"/>
        <v>0</v>
      </c>
      <c r="BB16" s="72">
        <f t="shared" si="21"/>
        <v>0</v>
      </c>
      <c r="BC16" s="72">
        <f t="shared" si="22"/>
        <v>0</v>
      </c>
      <c r="BD16" s="72">
        <f t="shared" si="23"/>
        <v>0</v>
      </c>
      <c r="BE16" s="72">
        <f t="shared" si="24"/>
        <v>0</v>
      </c>
      <c r="BF16" s="72">
        <f t="shared" si="25"/>
        <v>0</v>
      </c>
    </row>
    <row r="17" spans="1:58" x14ac:dyDescent="0.25">
      <c r="A17" s="34" t="s">
        <v>110</v>
      </c>
      <c r="B17" s="1" t="e">
        <f t="shared" si="4"/>
        <v>#N/A</v>
      </c>
      <c r="C17" s="1"/>
      <c r="D17" s="1"/>
      <c r="E17" t="s">
        <v>111</v>
      </c>
      <c r="F17" s="79"/>
      <c r="G17" s="1" t="s">
        <v>115</v>
      </c>
      <c r="H17" s="76"/>
      <c r="AC17" s="1">
        <f>SUM(I17:INDEX(I17:AB17,Level))+H17</f>
        <v>0</v>
      </c>
      <c r="AD17" s="45">
        <f t="shared" si="5"/>
        <v>-25</v>
      </c>
      <c r="AE17" s="45" cm="1">
        <f t="array" aca="1" ref="AE17" ca="1">IF(G17="NA",0,INDIRECT(LEFT(G17,2))+INDIRECT(MID(G17,4,2))+INDIRECT(RIGHT(G17,2)))</f>
        <v>0</v>
      </c>
      <c r="AF17" s="45">
        <f t="shared" si="26"/>
        <v>0</v>
      </c>
      <c r="AG17" s="45">
        <f t="shared" si="27"/>
        <v>0</v>
      </c>
      <c r="AH17" s="45"/>
      <c r="AI17" s="51">
        <f t="shared" ca="1" si="28"/>
        <v>-25</v>
      </c>
      <c r="AM17" s="72">
        <f t="shared" si="6"/>
        <v>0</v>
      </c>
      <c r="AN17" s="72">
        <f t="shared" si="7"/>
        <v>0</v>
      </c>
      <c r="AO17" s="72">
        <f t="shared" si="8"/>
        <v>0</v>
      </c>
      <c r="AP17" s="72">
        <f t="shared" si="9"/>
        <v>0</v>
      </c>
      <c r="AQ17" s="72">
        <f t="shared" si="10"/>
        <v>0</v>
      </c>
      <c r="AR17" s="72">
        <f t="shared" si="11"/>
        <v>0</v>
      </c>
      <c r="AS17" s="72">
        <f t="shared" si="12"/>
        <v>0</v>
      </c>
      <c r="AT17" s="72">
        <f t="shared" si="13"/>
        <v>0</v>
      </c>
      <c r="AU17" s="72">
        <f t="shared" si="14"/>
        <v>0</v>
      </c>
      <c r="AV17" s="72">
        <f t="shared" si="15"/>
        <v>0</v>
      </c>
      <c r="AW17" s="72">
        <f t="shared" si="16"/>
        <v>0</v>
      </c>
      <c r="AX17" s="72">
        <f t="shared" si="17"/>
        <v>0</v>
      </c>
      <c r="AY17" s="72">
        <f t="shared" si="18"/>
        <v>0</v>
      </c>
      <c r="AZ17" s="72">
        <f t="shared" si="19"/>
        <v>0</v>
      </c>
      <c r="BA17" s="72">
        <f t="shared" si="20"/>
        <v>0</v>
      </c>
      <c r="BB17" s="72">
        <f t="shared" si="21"/>
        <v>0</v>
      </c>
      <c r="BC17" s="72">
        <f t="shared" si="22"/>
        <v>0</v>
      </c>
      <c r="BD17" s="72">
        <f t="shared" si="23"/>
        <v>0</v>
      </c>
      <c r="BE17" s="72">
        <f t="shared" si="24"/>
        <v>0</v>
      </c>
      <c r="BF17" s="72">
        <f t="shared" si="25"/>
        <v>0</v>
      </c>
    </row>
    <row r="18" spans="1:58" x14ac:dyDescent="0.25">
      <c r="A18" s="34" t="s">
        <v>110</v>
      </c>
      <c r="B18" s="1" t="e">
        <f t="shared" si="4"/>
        <v>#N/A</v>
      </c>
      <c r="C18" s="1"/>
      <c r="D18" s="1"/>
      <c r="E18" t="s">
        <v>112</v>
      </c>
      <c r="F18" s="79"/>
      <c r="G18" s="1" t="s">
        <v>116</v>
      </c>
      <c r="H18" s="76"/>
      <c r="AC18" s="1">
        <f>SUM(I18:INDEX(I18:AB18,Level))+H18</f>
        <v>0</v>
      </c>
      <c r="AD18" s="45">
        <f t="shared" si="5"/>
        <v>-25</v>
      </c>
      <c r="AE18" s="45" cm="1">
        <f t="array" aca="1" ref="AE18" ca="1">IF(G18="NA",0,INDIRECT(LEFT(G18,2))+INDIRECT(MID(G18,4,2))+INDIRECT(RIGHT(G18,2)))</f>
        <v>0</v>
      </c>
      <c r="AF18" s="45">
        <f t="shared" si="26"/>
        <v>0</v>
      </c>
      <c r="AG18" s="45">
        <f t="shared" si="27"/>
        <v>0</v>
      </c>
      <c r="AH18" s="45"/>
      <c r="AI18" s="51">
        <f t="shared" ca="1" si="28"/>
        <v>-25</v>
      </c>
      <c r="AM18" s="72">
        <f t="shared" si="6"/>
        <v>0</v>
      </c>
      <c r="AN18" s="72">
        <f t="shared" si="7"/>
        <v>0</v>
      </c>
      <c r="AO18" s="72">
        <f t="shared" si="8"/>
        <v>0</v>
      </c>
      <c r="AP18" s="72">
        <f t="shared" si="9"/>
        <v>0</v>
      </c>
      <c r="AQ18" s="72">
        <f t="shared" si="10"/>
        <v>0</v>
      </c>
      <c r="AR18" s="72">
        <f t="shared" si="11"/>
        <v>0</v>
      </c>
      <c r="AS18" s="72">
        <f t="shared" si="12"/>
        <v>0</v>
      </c>
      <c r="AT18" s="72">
        <f t="shared" si="13"/>
        <v>0</v>
      </c>
      <c r="AU18" s="72">
        <f t="shared" si="14"/>
        <v>0</v>
      </c>
      <c r="AV18" s="72">
        <f t="shared" si="15"/>
        <v>0</v>
      </c>
      <c r="AW18" s="72">
        <f t="shared" si="16"/>
        <v>0</v>
      </c>
      <c r="AX18" s="72">
        <f t="shared" si="17"/>
        <v>0</v>
      </c>
      <c r="AY18" s="72">
        <f t="shared" si="18"/>
        <v>0</v>
      </c>
      <c r="AZ18" s="72">
        <f t="shared" si="19"/>
        <v>0</v>
      </c>
      <c r="BA18" s="72">
        <f t="shared" si="20"/>
        <v>0</v>
      </c>
      <c r="BB18" s="72">
        <f t="shared" si="21"/>
        <v>0</v>
      </c>
      <c r="BC18" s="72">
        <f t="shared" si="22"/>
        <v>0</v>
      </c>
      <c r="BD18" s="72">
        <f t="shared" si="23"/>
        <v>0</v>
      </c>
      <c r="BE18" s="72">
        <f t="shared" si="24"/>
        <v>0</v>
      </c>
      <c r="BF18" s="72">
        <f t="shared" si="25"/>
        <v>0</v>
      </c>
    </row>
    <row r="19" spans="1:58" x14ac:dyDescent="0.25">
      <c r="A19" s="34" t="s">
        <v>110</v>
      </c>
      <c r="B19" s="1" t="e">
        <f t="shared" si="4"/>
        <v>#N/A</v>
      </c>
      <c r="C19" s="1"/>
      <c r="D19" s="1"/>
      <c r="E19" t="s">
        <v>113</v>
      </c>
      <c r="F19" s="79"/>
      <c r="G19" s="1" t="s">
        <v>117</v>
      </c>
      <c r="H19" s="76"/>
      <c r="AC19" s="1">
        <f>SUM(I19:INDEX(I19:AB19,Level))+H19</f>
        <v>0</v>
      </c>
      <c r="AD19" s="45">
        <f t="shared" si="5"/>
        <v>-25</v>
      </c>
      <c r="AE19" s="45" cm="1">
        <f t="array" aca="1" ref="AE19" ca="1">IF(G19="NA",0,INDIRECT(LEFT(G19,2))+INDIRECT(MID(G19,4,2))+INDIRECT(RIGHT(G19,2)))</f>
        <v>0</v>
      </c>
      <c r="AF19" s="45">
        <f t="shared" si="26"/>
        <v>0</v>
      </c>
      <c r="AG19" s="45">
        <f t="shared" si="27"/>
        <v>0</v>
      </c>
      <c r="AH19" s="45"/>
      <c r="AI19" s="51">
        <f t="shared" ca="1" si="28"/>
        <v>-25</v>
      </c>
      <c r="AM19" s="72">
        <f t="shared" si="6"/>
        <v>0</v>
      </c>
      <c r="AN19" s="72">
        <f t="shared" si="7"/>
        <v>0</v>
      </c>
      <c r="AO19" s="72">
        <f t="shared" si="8"/>
        <v>0</v>
      </c>
      <c r="AP19" s="72">
        <f t="shared" si="9"/>
        <v>0</v>
      </c>
      <c r="AQ19" s="72">
        <f t="shared" si="10"/>
        <v>0</v>
      </c>
      <c r="AR19" s="72">
        <f t="shared" si="11"/>
        <v>0</v>
      </c>
      <c r="AS19" s="72">
        <f t="shared" si="12"/>
        <v>0</v>
      </c>
      <c r="AT19" s="72">
        <f t="shared" si="13"/>
        <v>0</v>
      </c>
      <c r="AU19" s="72">
        <f t="shared" si="14"/>
        <v>0</v>
      </c>
      <c r="AV19" s="72">
        <f t="shared" si="15"/>
        <v>0</v>
      </c>
      <c r="AW19" s="72">
        <f t="shared" si="16"/>
        <v>0</v>
      </c>
      <c r="AX19" s="72">
        <f t="shared" si="17"/>
        <v>0</v>
      </c>
      <c r="AY19" s="72">
        <f t="shared" si="18"/>
        <v>0</v>
      </c>
      <c r="AZ19" s="72">
        <f t="shared" si="19"/>
        <v>0</v>
      </c>
      <c r="BA19" s="72">
        <f t="shared" si="20"/>
        <v>0</v>
      </c>
      <c r="BB19" s="72">
        <f t="shared" si="21"/>
        <v>0</v>
      </c>
      <c r="BC19" s="72">
        <f t="shared" si="22"/>
        <v>0</v>
      </c>
      <c r="BD19" s="72">
        <f t="shared" si="23"/>
        <v>0</v>
      </c>
      <c r="BE19" s="72">
        <f t="shared" si="24"/>
        <v>0</v>
      </c>
      <c r="BF19" s="72">
        <f t="shared" si="25"/>
        <v>0</v>
      </c>
    </row>
    <row r="20" spans="1:58" x14ac:dyDescent="0.25">
      <c r="A20" s="34" t="s">
        <v>110</v>
      </c>
      <c r="B20" s="1" t="e">
        <f t="shared" si="4"/>
        <v>#N/A</v>
      </c>
      <c r="C20" s="1"/>
      <c r="D20" s="1"/>
      <c r="E20" t="s">
        <v>114</v>
      </c>
      <c r="F20" s="79"/>
      <c r="G20" s="1" t="s">
        <v>118</v>
      </c>
      <c r="H20" s="76"/>
      <c r="AC20" s="1">
        <f>SUM(I20:INDEX(I20:AB20,Level))+H20</f>
        <v>0</v>
      </c>
      <c r="AD20" s="45">
        <f t="shared" si="5"/>
        <v>-25</v>
      </c>
      <c r="AE20" s="45" cm="1">
        <f t="array" aca="1" ref="AE20" ca="1">IF(G20="NA",0,INDIRECT(LEFT(G20,2))+INDIRECT(MID(G20,4,2))+INDIRECT(RIGHT(G20,2)))</f>
        <v>8</v>
      </c>
      <c r="AF20" s="45">
        <f t="shared" si="26"/>
        <v>0</v>
      </c>
      <c r="AG20" s="45">
        <f t="shared" si="27"/>
        <v>0</v>
      </c>
      <c r="AH20" s="45"/>
      <c r="AI20" s="51">
        <f t="shared" ca="1" si="28"/>
        <v>-17</v>
      </c>
      <c r="AM20" s="72">
        <f t="shared" si="6"/>
        <v>0</v>
      </c>
      <c r="AN20" s="72">
        <f t="shared" si="7"/>
        <v>0</v>
      </c>
      <c r="AO20" s="72">
        <f t="shared" si="8"/>
        <v>0</v>
      </c>
      <c r="AP20" s="72">
        <f t="shared" si="9"/>
        <v>0</v>
      </c>
      <c r="AQ20" s="72">
        <f t="shared" si="10"/>
        <v>0</v>
      </c>
      <c r="AR20" s="72">
        <f t="shared" si="11"/>
        <v>0</v>
      </c>
      <c r="AS20" s="72">
        <f t="shared" si="12"/>
        <v>0</v>
      </c>
      <c r="AT20" s="72">
        <f t="shared" si="13"/>
        <v>0</v>
      </c>
      <c r="AU20" s="72">
        <f t="shared" si="14"/>
        <v>0</v>
      </c>
      <c r="AV20" s="72">
        <f t="shared" si="15"/>
        <v>0</v>
      </c>
      <c r="AW20" s="72">
        <f t="shared" si="16"/>
        <v>0</v>
      </c>
      <c r="AX20" s="72">
        <f t="shared" si="17"/>
        <v>0</v>
      </c>
      <c r="AY20" s="72">
        <f t="shared" si="18"/>
        <v>0</v>
      </c>
      <c r="AZ20" s="72">
        <f t="shared" si="19"/>
        <v>0</v>
      </c>
      <c r="BA20" s="72">
        <f t="shared" si="20"/>
        <v>0</v>
      </c>
      <c r="BB20" s="72">
        <f t="shared" si="21"/>
        <v>0</v>
      </c>
      <c r="BC20" s="72">
        <f t="shared" si="22"/>
        <v>0</v>
      </c>
      <c r="BD20" s="72">
        <f t="shared" si="23"/>
        <v>0</v>
      </c>
      <c r="BE20" s="72">
        <f t="shared" si="24"/>
        <v>0</v>
      </c>
      <c r="BF20" s="72">
        <f t="shared" si="25"/>
        <v>0</v>
      </c>
    </row>
    <row r="21" spans="1:58" x14ac:dyDescent="0.25">
      <c r="A21" s="89" t="s">
        <v>119</v>
      </c>
      <c r="B21" s="90" t="e">
        <f t="shared" si="4"/>
        <v>#N/A</v>
      </c>
      <c r="C21" s="90"/>
      <c r="D21" s="90"/>
      <c r="E21" s="91" t="s">
        <v>120</v>
      </c>
      <c r="F21" s="79"/>
      <c r="G21" s="90" t="s">
        <v>123</v>
      </c>
      <c r="H21" s="90" t="e">
        <f>Worksheet!P14</f>
        <v>#N/A</v>
      </c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  <c r="AC21" s="90" t="e">
        <f>SUM(I21:INDEX(I21:AB21,Level))+H21</f>
        <v>#N/A</v>
      </c>
      <c r="AD21" s="92" t="e">
        <f t="shared" si="5"/>
        <v>#N/A</v>
      </c>
      <c r="AE21" s="92" cm="1">
        <f t="array" aca="1" ref="AE21" ca="1">IF(G21="NA",0,INDIRECT(LEFT(G21,2))+INDIRECT(MID(G21,4,2))+INDIRECT(RIGHT(G21,2)))</f>
        <v>0</v>
      </c>
      <c r="AF21" s="92">
        <f t="shared" si="26"/>
        <v>0</v>
      </c>
      <c r="AG21" s="92">
        <f t="shared" si="27"/>
        <v>0</v>
      </c>
      <c r="AH21" s="92"/>
      <c r="AI21" s="93" t="e">
        <f t="shared" si="28"/>
        <v>#N/A</v>
      </c>
      <c r="AM21" s="72">
        <f t="shared" si="6"/>
        <v>0</v>
      </c>
      <c r="AN21" s="72">
        <f t="shared" si="7"/>
        <v>0</v>
      </c>
      <c r="AO21" s="72">
        <f t="shared" si="8"/>
        <v>0</v>
      </c>
      <c r="AP21" s="72">
        <f t="shared" si="9"/>
        <v>0</v>
      </c>
      <c r="AQ21" s="72">
        <f t="shared" si="10"/>
        <v>0</v>
      </c>
      <c r="AR21" s="72">
        <f t="shared" si="11"/>
        <v>0</v>
      </c>
      <c r="AS21" s="72">
        <f t="shared" si="12"/>
        <v>0</v>
      </c>
      <c r="AT21" s="72">
        <f t="shared" si="13"/>
        <v>0</v>
      </c>
      <c r="AU21" s="72">
        <f t="shared" si="14"/>
        <v>0</v>
      </c>
      <c r="AV21" s="72">
        <f t="shared" si="15"/>
        <v>0</v>
      </c>
      <c r="AW21" s="72">
        <f t="shared" si="16"/>
        <v>0</v>
      </c>
      <c r="AX21" s="72">
        <f t="shared" si="17"/>
        <v>0</v>
      </c>
      <c r="AY21" s="72">
        <f t="shared" si="18"/>
        <v>0</v>
      </c>
      <c r="AZ21" s="72">
        <f t="shared" si="19"/>
        <v>0</v>
      </c>
      <c r="BA21" s="72">
        <f t="shared" si="20"/>
        <v>0</v>
      </c>
      <c r="BB21" s="72">
        <f t="shared" si="21"/>
        <v>0</v>
      </c>
      <c r="BC21" s="72">
        <f t="shared" si="22"/>
        <v>0</v>
      </c>
      <c r="BD21" s="72">
        <f t="shared" si="23"/>
        <v>0</v>
      </c>
      <c r="BE21" s="72">
        <f t="shared" si="24"/>
        <v>0</v>
      </c>
      <c r="BF21" s="72">
        <f t="shared" si="25"/>
        <v>0</v>
      </c>
    </row>
    <row r="22" spans="1:58" x14ac:dyDescent="0.25">
      <c r="A22" s="34" t="s">
        <v>119</v>
      </c>
      <c r="B22" s="1" t="e">
        <f t="shared" si="4"/>
        <v>#N/A</v>
      </c>
      <c r="C22" s="1"/>
      <c r="D22" s="1"/>
      <c r="E22" t="s">
        <v>121</v>
      </c>
      <c r="F22" s="79"/>
      <c r="G22" s="1" t="s">
        <v>118</v>
      </c>
      <c r="H22" s="76"/>
      <c r="AC22" s="1">
        <f>SUM(I22:INDEX(I22:AB22,Level))+H22</f>
        <v>0</v>
      </c>
      <c r="AD22" s="45">
        <f t="shared" si="5"/>
        <v>-25</v>
      </c>
      <c r="AE22" s="45" cm="1">
        <f t="array" aca="1" ref="AE22" ca="1">IF(G22="NA",0,INDIRECT(LEFT(G22,2))+INDIRECT(MID(G22,4,2))+INDIRECT(RIGHT(G22,2)))</f>
        <v>8</v>
      </c>
      <c r="AF22" s="45">
        <f t="shared" si="26"/>
        <v>0</v>
      </c>
      <c r="AG22" s="45">
        <f t="shared" si="27"/>
        <v>0</v>
      </c>
      <c r="AH22" s="45"/>
      <c r="AI22" s="51">
        <f t="shared" ca="1" si="28"/>
        <v>-17</v>
      </c>
      <c r="AM22" s="72">
        <f t="shared" si="6"/>
        <v>0</v>
      </c>
      <c r="AN22" s="72">
        <f t="shared" si="7"/>
        <v>0</v>
      </c>
      <c r="AO22" s="72">
        <f t="shared" si="8"/>
        <v>0</v>
      </c>
      <c r="AP22" s="72">
        <f t="shared" si="9"/>
        <v>0</v>
      </c>
      <c r="AQ22" s="72">
        <f t="shared" si="10"/>
        <v>0</v>
      </c>
      <c r="AR22" s="72">
        <f t="shared" si="11"/>
        <v>0</v>
      </c>
      <c r="AS22" s="72">
        <f t="shared" si="12"/>
        <v>0</v>
      </c>
      <c r="AT22" s="72">
        <f t="shared" si="13"/>
        <v>0</v>
      </c>
      <c r="AU22" s="72">
        <f t="shared" si="14"/>
        <v>0</v>
      </c>
      <c r="AV22" s="72">
        <f t="shared" si="15"/>
        <v>0</v>
      </c>
      <c r="AW22" s="72">
        <f t="shared" si="16"/>
        <v>0</v>
      </c>
      <c r="AX22" s="72">
        <f t="shared" si="17"/>
        <v>0</v>
      </c>
      <c r="AY22" s="72">
        <f t="shared" si="18"/>
        <v>0</v>
      </c>
      <c r="AZ22" s="72">
        <f t="shared" si="19"/>
        <v>0</v>
      </c>
      <c r="BA22" s="72">
        <f t="shared" si="20"/>
        <v>0</v>
      </c>
      <c r="BB22" s="72">
        <f t="shared" si="21"/>
        <v>0</v>
      </c>
      <c r="BC22" s="72">
        <f t="shared" si="22"/>
        <v>0</v>
      </c>
      <c r="BD22" s="72">
        <f t="shared" si="23"/>
        <v>0</v>
      </c>
      <c r="BE22" s="72">
        <f t="shared" si="24"/>
        <v>0</v>
      </c>
      <c r="BF22" s="72">
        <f t="shared" si="25"/>
        <v>0</v>
      </c>
    </row>
    <row r="23" spans="1:58" x14ac:dyDescent="0.25">
      <c r="A23" s="34" t="s">
        <v>119</v>
      </c>
      <c r="B23" s="1" t="e">
        <f t="shared" si="4"/>
        <v>#N/A</v>
      </c>
      <c r="C23" s="1"/>
      <c r="D23" s="1"/>
      <c r="E23" t="s">
        <v>122</v>
      </c>
      <c r="F23" s="79"/>
      <c r="G23" s="1" t="s">
        <v>118</v>
      </c>
      <c r="H23" s="1" t="e">
        <f>Worksheet!P15</f>
        <v>#N/A</v>
      </c>
      <c r="AC23" s="1" t="e">
        <f>SUM(I23:INDEX(I23:AB23,Level))+H23</f>
        <v>#N/A</v>
      </c>
      <c r="AD23" s="45" t="e">
        <f t="shared" si="5"/>
        <v>#N/A</v>
      </c>
      <c r="AE23" s="45" cm="1">
        <f t="array" aca="1" ref="AE23" ca="1">IF(G23="NA",0,INDIRECT(LEFT(G23,2))+INDIRECT(MID(G23,4,2))+INDIRECT(RIGHT(G23,2)))</f>
        <v>8</v>
      </c>
      <c r="AF23" s="45">
        <f t="shared" si="26"/>
        <v>0</v>
      </c>
      <c r="AG23" s="45">
        <f t="shared" si="27"/>
        <v>0</v>
      </c>
      <c r="AH23" s="45"/>
      <c r="AI23" s="51" t="e">
        <f t="shared" si="28"/>
        <v>#N/A</v>
      </c>
      <c r="AM23" s="72">
        <f t="shared" si="6"/>
        <v>0</v>
      </c>
      <c r="AN23" s="72">
        <f t="shared" si="7"/>
        <v>0</v>
      </c>
      <c r="AO23" s="72">
        <f t="shared" si="8"/>
        <v>0</v>
      </c>
      <c r="AP23" s="72">
        <f t="shared" si="9"/>
        <v>0</v>
      </c>
      <c r="AQ23" s="72">
        <f t="shared" si="10"/>
        <v>0</v>
      </c>
      <c r="AR23" s="72">
        <f t="shared" si="11"/>
        <v>0</v>
      </c>
      <c r="AS23" s="72">
        <f t="shared" si="12"/>
        <v>0</v>
      </c>
      <c r="AT23" s="72">
        <f t="shared" si="13"/>
        <v>0</v>
      </c>
      <c r="AU23" s="72">
        <f t="shared" si="14"/>
        <v>0</v>
      </c>
      <c r="AV23" s="72">
        <f t="shared" si="15"/>
        <v>0</v>
      </c>
      <c r="AW23" s="72">
        <f t="shared" si="16"/>
        <v>0</v>
      </c>
      <c r="AX23" s="72">
        <f t="shared" si="17"/>
        <v>0</v>
      </c>
      <c r="AY23" s="72">
        <f t="shared" si="18"/>
        <v>0</v>
      </c>
      <c r="AZ23" s="72">
        <f t="shared" si="19"/>
        <v>0</v>
      </c>
      <c r="BA23" s="72">
        <f t="shared" si="20"/>
        <v>0</v>
      </c>
      <c r="BB23" s="72">
        <f t="shared" si="21"/>
        <v>0</v>
      </c>
      <c r="BC23" s="72">
        <f t="shared" si="22"/>
        <v>0</v>
      </c>
      <c r="BD23" s="72">
        <f t="shared" si="23"/>
        <v>0</v>
      </c>
      <c r="BE23" s="72">
        <f t="shared" si="24"/>
        <v>0</v>
      </c>
      <c r="BF23" s="72">
        <f t="shared" si="25"/>
        <v>0</v>
      </c>
    </row>
    <row r="24" spans="1:58" x14ac:dyDescent="0.25">
      <c r="A24" s="34" t="s">
        <v>124</v>
      </c>
      <c r="B24" s="1" t="e">
        <f t="shared" si="4"/>
        <v>#N/A</v>
      </c>
      <c r="C24" s="1"/>
      <c r="D24" s="1"/>
      <c r="E24" t="s">
        <v>125</v>
      </c>
      <c r="F24" s="79"/>
      <c r="G24" s="1" t="s">
        <v>109</v>
      </c>
      <c r="H24" s="76"/>
      <c r="AC24" s="1">
        <f>SUM(I24:INDEX(I24:AB24,Level))+H24</f>
        <v>0</v>
      </c>
      <c r="AD24" s="45">
        <f t="shared" si="5"/>
        <v>-25</v>
      </c>
      <c r="AE24" s="45" cm="1">
        <f t="array" aca="1" ref="AE24" ca="1">IF(G24="NA",0,INDIRECT(LEFT(G24,2))+INDIRECT(MID(G24,4,2))+INDIRECT(RIGHT(G24,2)))</f>
        <v>0</v>
      </c>
      <c r="AF24" s="45">
        <f t="shared" si="26"/>
        <v>0</v>
      </c>
      <c r="AG24" s="45">
        <f t="shared" si="27"/>
        <v>0</v>
      </c>
      <c r="AH24" s="45"/>
      <c r="AI24" s="51">
        <f t="shared" ca="1" si="28"/>
        <v>-25</v>
      </c>
      <c r="AM24" s="72">
        <f t="shared" si="6"/>
        <v>0</v>
      </c>
      <c r="AN24" s="72">
        <f t="shared" si="7"/>
        <v>0</v>
      </c>
      <c r="AO24" s="72">
        <f t="shared" si="8"/>
        <v>0</v>
      </c>
      <c r="AP24" s="72">
        <f t="shared" si="9"/>
        <v>0</v>
      </c>
      <c r="AQ24" s="72">
        <f t="shared" si="10"/>
        <v>0</v>
      </c>
      <c r="AR24" s="72">
        <f t="shared" si="11"/>
        <v>0</v>
      </c>
      <c r="AS24" s="72">
        <f t="shared" si="12"/>
        <v>0</v>
      </c>
      <c r="AT24" s="72">
        <f t="shared" si="13"/>
        <v>0</v>
      </c>
      <c r="AU24" s="72">
        <f t="shared" si="14"/>
        <v>0</v>
      </c>
      <c r="AV24" s="72">
        <f t="shared" si="15"/>
        <v>0</v>
      </c>
      <c r="AW24" s="72">
        <f t="shared" si="16"/>
        <v>0</v>
      </c>
      <c r="AX24" s="72">
        <f t="shared" si="17"/>
        <v>0</v>
      </c>
      <c r="AY24" s="72">
        <f t="shared" si="18"/>
        <v>0</v>
      </c>
      <c r="AZ24" s="72">
        <f t="shared" si="19"/>
        <v>0</v>
      </c>
      <c r="BA24" s="72">
        <f t="shared" si="20"/>
        <v>0</v>
      </c>
      <c r="BB24" s="72">
        <f t="shared" si="21"/>
        <v>0</v>
      </c>
      <c r="BC24" s="72">
        <f t="shared" si="22"/>
        <v>0</v>
      </c>
      <c r="BD24" s="72">
        <f t="shared" si="23"/>
        <v>0</v>
      </c>
      <c r="BE24" s="72">
        <f t="shared" si="24"/>
        <v>0</v>
      </c>
      <c r="BF24" s="72">
        <f t="shared" si="25"/>
        <v>0</v>
      </c>
    </row>
    <row r="25" spans="1:58" x14ac:dyDescent="0.25">
      <c r="A25" s="34" t="s">
        <v>124</v>
      </c>
      <c r="B25" s="1" t="e">
        <f t="shared" si="4"/>
        <v>#N/A</v>
      </c>
      <c r="C25" s="1"/>
      <c r="D25" s="1"/>
      <c r="E25" t="s">
        <v>126</v>
      </c>
      <c r="F25" s="79"/>
      <c r="G25" s="1" t="s">
        <v>109</v>
      </c>
      <c r="H25" s="76"/>
      <c r="AC25" s="1">
        <f>SUM(I25:INDEX(I25:AB25,Level))+H25</f>
        <v>0</v>
      </c>
      <c r="AD25" s="45">
        <f t="shared" si="5"/>
        <v>-25</v>
      </c>
      <c r="AE25" s="45" cm="1">
        <f t="array" aca="1" ref="AE25" ca="1">IF(G25="NA",0,INDIRECT(LEFT(G25,2))+INDIRECT(MID(G25,4,2))+INDIRECT(RIGHT(G25,2)))</f>
        <v>0</v>
      </c>
      <c r="AF25" s="45">
        <f t="shared" si="26"/>
        <v>0</v>
      </c>
      <c r="AG25" s="45">
        <f t="shared" si="27"/>
        <v>0</v>
      </c>
      <c r="AH25" s="45"/>
      <c r="AI25" s="51">
        <f t="shared" ca="1" si="28"/>
        <v>-25</v>
      </c>
      <c r="AM25" s="72">
        <f t="shared" si="6"/>
        <v>0</v>
      </c>
      <c r="AN25" s="72">
        <f t="shared" si="7"/>
        <v>0</v>
      </c>
      <c r="AO25" s="72">
        <f t="shared" si="8"/>
        <v>0</v>
      </c>
      <c r="AP25" s="72">
        <f t="shared" si="9"/>
        <v>0</v>
      </c>
      <c r="AQ25" s="72">
        <f t="shared" si="10"/>
        <v>0</v>
      </c>
      <c r="AR25" s="72">
        <f t="shared" si="11"/>
        <v>0</v>
      </c>
      <c r="AS25" s="72">
        <f t="shared" si="12"/>
        <v>0</v>
      </c>
      <c r="AT25" s="72">
        <f t="shared" si="13"/>
        <v>0</v>
      </c>
      <c r="AU25" s="72">
        <f t="shared" si="14"/>
        <v>0</v>
      </c>
      <c r="AV25" s="72">
        <f t="shared" si="15"/>
        <v>0</v>
      </c>
      <c r="AW25" s="72">
        <f t="shared" si="16"/>
        <v>0</v>
      </c>
      <c r="AX25" s="72">
        <f t="shared" si="17"/>
        <v>0</v>
      </c>
      <c r="AY25" s="72">
        <f t="shared" si="18"/>
        <v>0</v>
      </c>
      <c r="AZ25" s="72">
        <f t="shared" si="19"/>
        <v>0</v>
      </c>
      <c r="BA25" s="72">
        <f t="shared" si="20"/>
        <v>0</v>
      </c>
      <c r="BB25" s="72">
        <f t="shared" si="21"/>
        <v>0</v>
      </c>
      <c r="BC25" s="72">
        <f t="shared" si="22"/>
        <v>0</v>
      </c>
      <c r="BD25" s="72">
        <f t="shared" si="23"/>
        <v>0</v>
      </c>
      <c r="BE25" s="72">
        <f t="shared" si="24"/>
        <v>0</v>
      </c>
      <c r="BF25" s="72">
        <f t="shared" si="25"/>
        <v>0</v>
      </c>
    </row>
    <row r="26" spans="1:58" x14ac:dyDescent="0.25">
      <c r="A26" s="34" t="s">
        <v>124</v>
      </c>
      <c r="B26" s="1" t="e">
        <f t="shared" si="4"/>
        <v>#N/A</v>
      </c>
      <c r="C26" s="1"/>
      <c r="D26" s="1"/>
      <c r="E26" t="s">
        <v>127</v>
      </c>
      <c r="F26" s="79"/>
      <c r="G26" s="1" t="s">
        <v>109</v>
      </c>
      <c r="H26" s="76"/>
      <c r="I26" s="1">
        <v>2</v>
      </c>
      <c r="J26" s="1">
        <v>2</v>
      </c>
      <c r="K26" s="1">
        <v>2</v>
      </c>
      <c r="L26" s="1">
        <v>2</v>
      </c>
      <c r="AC26" s="1">
        <f>SUM(I26:INDEX(I26:AB26,Level))+H26</f>
        <v>8</v>
      </c>
      <c r="AD26" s="45">
        <f t="shared" si="5"/>
        <v>40</v>
      </c>
      <c r="AE26" s="45" cm="1">
        <f t="array" aca="1" ref="AE26" ca="1">IF(G26="NA",0,INDIRECT(LEFT(G26,2))+INDIRECT(MID(G26,4,2))+INDIRECT(RIGHT(G26,2)))</f>
        <v>0</v>
      </c>
      <c r="AF26" s="45">
        <f t="shared" si="26"/>
        <v>0</v>
      </c>
      <c r="AG26" s="45">
        <f t="shared" si="27"/>
        <v>0</v>
      </c>
      <c r="AH26" s="45"/>
      <c r="AI26" s="51">
        <f t="shared" ca="1" si="28"/>
        <v>40</v>
      </c>
      <c r="AM26" s="72" t="e">
        <f t="shared" si="6"/>
        <v>#N/A</v>
      </c>
      <c r="AN26" s="72" t="e">
        <f t="shared" si="7"/>
        <v>#N/A</v>
      </c>
      <c r="AO26" s="72" t="e">
        <f t="shared" si="8"/>
        <v>#N/A</v>
      </c>
      <c r="AP26" s="72" t="e">
        <f t="shared" si="9"/>
        <v>#N/A</v>
      </c>
      <c r="AQ26" s="72">
        <f t="shared" si="10"/>
        <v>0</v>
      </c>
      <c r="AR26" s="72">
        <f t="shared" si="11"/>
        <v>0</v>
      </c>
      <c r="AS26" s="72">
        <f t="shared" si="12"/>
        <v>0</v>
      </c>
      <c r="AT26" s="72">
        <f t="shared" si="13"/>
        <v>0</v>
      </c>
      <c r="AU26" s="72">
        <f t="shared" si="14"/>
        <v>0</v>
      </c>
      <c r="AV26" s="72">
        <f t="shared" si="15"/>
        <v>0</v>
      </c>
      <c r="AW26" s="72">
        <f t="shared" si="16"/>
        <v>0</v>
      </c>
      <c r="AX26" s="72">
        <f t="shared" si="17"/>
        <v>0</v>
      </c>
      <c r="AY26" s="72">
        <f t="shared" si="18"/>
        <v>0</v>
      </c>
      <c r="AZ26" s="72">
        <f t="shared" si="19"/>
        <v>0</v>
      </c>
      <c r="BA26" s="72">
        <f t="shared" si="20"/>
        <v>0</v>
      </c>
      <c r="BB26" s="72">
        <f t="shared" si="21"/>
        <v>0</v>
      </c>
      <c r="BC26" s="72">
        <f t="shared" si="22"/>
        <v>0</v>
      </c>
      <c r="BD26" s="72">
        <f t="shared" si="23"/>
        <v>0</v>
      </c>
      <c r="BE26" s="72">
        <f t="shared" si="24"/>
        <v>0</v>
      </c>
      <c r="BF26" s="72">
        <f t="shared" si="25"/>
        <v>0</v>
      </c>
    </row>
    <row r="27" spans="1:58" x14ac:dyDescent="0.25">
      <c r="A27" s="34" t="s">
        <v>124</v>
      </c>
      <c r="B27" s="1" t="e">
        <f t="shared" si="4"/>
        <v>#N/A</v>
      </c>
      <c r="C27" s="1"/>
      <c r="D27" s="1"/>
      <c r="E27" t="s">
        <v>128</v>
      </c>
      <c r="F27" s="79"/>
      <c r="G27" s="1" t="s">
        <v>109</v>
      </c>
      <c r="H27" s="76"/>
      <c r="AC27" s="1">
        <f>SUM(I27:INDEX(I27:AB27,Level))+H27</f>
        <v>0</v>
      </c>
      <c r="AD27" s="45">
        <f t="shared" si="5"/>
        <v>-25</v>
      </c>
      <c r="AE27" s="45" cm="1">
        <f t="array" aca="1" ref="AE27" ca="1">IF(G27="NA",0,INDIRECT(LEFT(G27,2))+INDIRECT(MID(G27,4,2))+INDIRECT(RIGHT(G27,2)))</f>
        <v>0</v>
      </c>
      <c r="AF27" s="45">
        <f t="shared" si="26"/>
        <v>0</v>
      </c>
      <c r="AG27" s="45">
        <f t="shared" si="27"/>
        <v>0</v>
      </c>
      <c r="AH27" s="45"/>
      <c r="AI27" s="51">
        <f t="shared" ca="1" si="28"/>
        <v>-25</v>
      </c>
      <c r="AM27" s="72">
        <f t="shared" si="6"/>
        <v>0</v>
      </c>
      <c r="AN27" s="72">
        <f t="shared" si="7"/>
        <v>0</v>
      </c>
      <c r="AO27" s="72">
        <f t="shared" si="8"/>
        <v>0</v>
      </c>
      <c r="AP27" s="72">
        <f t="shared" si="9"/>
        <v>0</v>
      </c>
      <c r="AQ27" s="72">
        <f t="shared" si="10"/>
        <v>0</v>
      </c>
      <c r="AR27" s="72">
        <f t="shared" si="11"/>
        <v>0</v>
      </c>
      <c r="AS27" s="72">
        <f t="shared" si="12"/>
        <v>0</v>
      </c>
      <c r="AT27" s="72">
        <f t="shared" si="13"/>
        <v>0</v>
      </c>
      <c r="AU27" s="72">
        <f t="shared" si="14"/>
        <v>0</v>
      </c>
      <c r="AV27" s="72">
        <f t="shared" si="15"/>
        <v>0</v>
      </c>
      <c r="AW27" s="72">
        <f t="shared" si="16"/>
        <v>0</v>
      </c>
      <c r="AX27" s="72">
        <f t="shared" si="17"/>
        <v>0</v>
      </c>
      <c r="AY27" s="72">
        <f t="shared" si="18"/>
        <v>0</v>
      </c>
      <c r="AZ27" s="72">
        <f t="shared" si="19"/>
        <v>0</v>
      </c>
      <c r="BA27" s="72">
        <f t="shared" si="20"/>
        <v>0</v>
      </c>
      <c r="BB27" s="72">
        <f t="shared" si="21"/>
        <v>0</v>
      </c>
      <c r="BC27" s="72">
        <f t="shared" si="22"/>
        <v>0</v>
      </c>
      <c r="BD27" s="72">
        <f t="shared" si="23"/>
        <v>0</v>
      </c>
      <c r="BE27" s="72">
        <f t="shared" si="24"/>
        <v>0</v>
      </c>
      <c r="BF27" s="72">
        <f t="shared" si="25"/>
        <v>0</v>
      </c>
    </row>
    <row r="28" spans="1:58" x14ac:dyDescent="0.25">
      <c r="A28" s="34" t="s">
        <v>124</v>
      </c>
      <c r="B28" s="1" t="e">
        <f t="shared" si="4"/>
        <v>#N/A</v>
      </c>
      <c r="C28" s="1"/>
      <c r="D28" s="1"/>
      <c r="E28" t="s">
        <v>129</v>
      </c>
      <c r="F28" s="79"/>
      <c r="G28" s="1" t="s">
        <v>109</v>
      </c>
      <c r="H28" s="76"/>
      <c r="AC28" s="1">
        <f>SUM(I28:INDEX(I28:AB28,Level))+H28</f>
        <v>0</v>
      </c>
      <c r="AD28" s="45">
        <f t="shared" si="5"/>
        <v>-25</v>
      </c>
      <c r="AE28" s="45" cm="1">
        <f t="array" aca="1" ref="AE28" ca="1">IF(G28="NA",0,INDIRECT(LEFT(G28,2))+INDIRECT(MID(G28,4,2))+INDIRECT(RIGHT(G28,2)))</f>
        <v>0</v>
      </c>
      <c r="AF28" s="45">
        <f t="shared" si="26"/>
        <v>0</v>
      </c>
      <c r="AG28" s="45">
        <f t="shared" si="27"/>
        <v>0</v>
      </c>
      <c r="AH28" s="45"/>
      <c r="AI28" s="51">
        <f t="shared" ca="1" si="28"/>
        <v>-25</v>
      </c>
      <c r="AM28" s="72">
        <f t="shared" si="6"/>
        <v>0</v>
      </c>
      <c r="AN28" s="72">
        <f t="shared" si="7"/>
        <v>0</v>
      </c>
      <c r="AO28" s="72">
        <f t="shared" si="8"/>
        <v>0</v>
      </c>
      <c r="AP28" s="72">
        <f t="shared" si="9"/>
        <v>0</v>
      </c>
      <c r="AQ28" s="72">
        <f t="shared" si="10"/>
        <v>0</v>
      </c>
      <c r="AR28" s="72">
        <f t="shared" si="11"/>
        <v>0</v>
      </c>
      <c r="AS28" s="72">
        <f t="shared" si="12"/>
        <v>0</v>
      </c>
      <c r="AT28" s="72">
        <f t="shared" si="13"/>
        <v>0</v>
      </c>
      <c r="AU28" s="72">
        <f t="shared" si="14"/>
        <v>0</v>
      </c>
      <c r="AV28" s="72">
        <f t="shared" si="15"/>
        <v>0</v>
      </c>
      <c r="AW28" s="72">
        <f t="shared" si="16"/>
        <v>0</v>
      </c>
      <c r="AX28" s="72">
        <f t="shared" si="17"/>
        <v>0</v>
      </c>
      <c r="AY28" s="72">
        <f t="shared" si="18"/>
        <v>0</v>
      </c>
      <c r="AZ28" s="72">
        <f t="shared" si="19"/>
        <v>0</v>
      </c>
      <c r="BA28" s="72">
        <f t="shared" si="20"/>
        <v>0</v>
      </c>
      <c r="BB28" s="72">
        <f t="shared" si="21"/>
        <v>0</v>
      </c>
      <c r="BC28" s="72">
        <f t="shared" si="22"/>
        <v>0</v>
      </c>
      <c r="BD28" s="72">
        <f t="shared" si="23"/>
        <v>0</v>
      </c>
      <c r="BE28" s="72">
        <f t="shared" si="24"/>
        <v>0</v>
      </c>
      <c r="BF28" s="72">
        <f t="shared" si="25"/>
        <v>0</v>
      </c>
    </row>
    <row r="29" spans="1:58" x14ac:dyDescent="0.25">
      <c r="A29" s="34" t="s">
        <v>130</v>
      </c>
      <c r="B29" s="1" t="e">
        <f t="shared" ref="B29:B36" si="29">Cost_Melee</f>
        <v>#N/A</v>
      </c>
      <c r="C29" s="1"/>
      <c r="D29" s="1"/>
      <c r="E29" t="s">
        <v>317</v>
      </c>
      <c r="F29" s="77" t="s">
        <v>463</v>
      </c>
      <c r="G29" s="1" t="s">
        <v>134</v>
      </c>
      <c r="H29" s="1">
        <f>Worksheet!P40</f>
        <v>0</v>
      </c>
      <c r="AC29" s="1">
        <f>SUM(I29:INDEX(I29:AB29,Level))+H29</f>
        <v>0</v>
      </c>
      <c r="AD29" s="45">
        <f t="shared" si="5"/>
        <v>-25</v>
      </c>
      <c r="AE29" s="45" cm="1">
        <f t="array" aca="1" ref="AE29" ca="1">IF(G29="NA",0,INDIRECT(LEFT(G29,2))+INDIRECT(MID(G29,4,2))+INDIRECT(RIGHT(G29,2)))</f>
        <v>16</v>
      </c>
      <c r="AF29" s="45">
        <f t="shared" si="26"/>
        <v>0</v>
      </c>
      <c r="AG29" s="45">
        <f t="shared" si="27"/>
        <v>0</v>
      </c>
      <c r="AH29" s="45"/>
      <c r="AI29" s="51">
        <f t="shared" ca="1" si="28"/>
        <v>-9</v>
      </c>
      <c r="AM29" s="72">
        <f t="shared" si="6"/>
        <v>0</v>
      </c>
      <c r="AN29" s="72">
        <f t="shared" si="7"/>
        <v>0</v>
      </c>
      <c r="AO29" s="72">
        <f t="shared" si="8"/>
        <v>0</v>
      </c>
      <c r="AP29" s="72">
        <f t="shared" si="9"/>
        <v>0</v>
      </c>
      <c r="AQ29" s="72">
        <f t="shared" si="10"/>
        <v>0</v>
      </c>
      <c r="AR29" s="72">
        <f t="shared" si="11"/>
        <v>0</v>
      </c>
      <c r="AS29" s="72">
        <f t="shared" si="12"/>
        <v>0</v>
      </c>
      <c r="AT29" s="72">
        <f t="shared" si="13"/>
        <v>0</v>
      </c>
      <c r="AU29" s="72">
        <f t="shared" si="14"/>
        <v>0</v>
      </c>
      <c r="AV29" s="72">
        <f t="shared" si="15"/>
        <v>0</v>
      </c>
      <c r="AW29" s="72">
        <f t="shared" si="16"/>
        <v>0</v>
      </c>
      <c r="AX29" s="72">
        <f t="shared" si="17"/>
        <v>0</v>
      </c>
      <c r="AY29" s="72">
        <f t="shared" si="18"/>
        <v>0</v>
      </c>
      <c r="AZ29" s="72">
        <f t="shared" si="19"/>
        <v>0</v>
      </c>
      <c r="BA29" s="72">
        <f t="shared" si="20"/>
        <v>0</v>
      </c>
      <c r="BB29" s="72">
        <f t="shared" si="21"/>
        <v>0</v>
      </c>
      <c r="BC29" s="72">
        <f t="shared" si="22"/>
        <v>0</v>
      </c>
      <c r="BD29" s="72">
        <f t="shared" si="23"/>
        <v>0</v>
      </c>
      <c r="BE29" s="72">
        <f t="shared" si="24"/>
        <v>0</v>
      </c>
      <c r="BF29" s="72">
        <f t="shared" si="25"/>
        <v>0</v>
      </c>
    </row>
    <row r="30" spans="1:58" x14ac:dyDescent="0.25">
      <c r="A30" s="34" t="s">
        <v>130</v>
      </c>
      <c r="B30" s="1" t="e">
        <f t="shared" si="29"/>
        <v>#N/A</v>
      </c>
      <c r="C30" s="1"/>
      <c r="D30" s="1"/>
      <c r="E30" t="s">
        <v>317</v>
      </c>
      <c r="F30" s="77" t="s">
        <v>464</v>
      </c>
      <c r="G30" s="1" t="s">
        <v>134</v>
      </c>
      <c r="H30" s="1">
        <f>Worksheet!P41</f>
        <v>0</v>
      </c>
      <c r="AC30" s="1">
        <f>SUM(I30:INDEX(I30:AB30,Level))+H30</f>
        <v>0</v>
      </c>
      <c r="AD30" s="45">
        <f t="shared" ref="AD30:AD34" si="30">IF(AC30&gt;30,100+AC30,VLOOKUP(AC30,Rank_Bonus,2,FALSE))</f>
        <v>-25</v>
      </c>
      <c r="AE30" s="45" cm="1">
        <f t="array" aca="1" ref="AE30" ca="1">IF(G30="NA",0,INDIRECT(LEFT(G30,2))+INDIRECT(MID(G30,4,2))+INDIRECT(RIGHT(G30,2)))</f>
        <v>16</v>
      </c>
      <c r="AF30" s="45">
        <f t="shared" ref="AF30:AF34" si="31">IF(C30="X",MIN(30,AC30),0)</f>
        <v>0</v>
      </c>
      <c r="AG30" s="45">
        <f t="shared" ref="AG30:AG34" si="32">IF(D30="X",5,0)</f>
        <v>0</v>
      </c>
      <c r="AH30" s="45"/>
      <c r="AI30" s="51">
        <f t="shared" ca="1" si="28"/>
        <v>-9</v>
      </c>
      <c r="AM30" s="72">
        <f t="shared" ref="AM30:AM34" si="33">_xlfn.NUMBERVALUE(IF(I30=0,0,IF(I30=1,LEFT($B30,FIND("/",$B30)-1),SUM(LEFT($B30,FIND("/",$B30)-1),RIGHT($B30,LEN($B30)-FIND("/",$B30))))))</f>
        <v>0</v>
      </c>
      <c r="AN30" s="72">
        <f t="shared" ref="AN30:AN34" si="34">_xlfn.NUMBERVALUE(IF(J30=0,0,IF(J30=1,LEFT($B30,FIND("/",$B30)-1),SUM(LEFT($B30,FIND("/",$B30)-1),RIGHT($B30,LEN($B30)-FIND("/",$B30))))))</f>
        <v>0</v>
      </c>
      <c r="AO30" s="72">
        <f t="shared" ref="AO30:AO34" si="35">_xlfn.NUMBERVALUE(IF(K30=0,0,IF(K30=1,LEFT($B30,FIND("/",$B30)-1),SUM(LEFT($B30,FIND("/",$B30)-1),RIGHT($B30,LEN($B30)-FIND("/",$B30))))))</f>
        <v>0</v>
      </c>
      <c r="AP30" s="72">
        <f t="shared" ref="AP30:AP34" si="36">_xlfn.NUMBERVALUE(IF(L30=0,0,IF(L30=1,LEFT($B30,FIND("/",$B30)-1),SUM(LEFT($B30,FIND("/",$B30)-1),RIGHT($B30,LEN($B30)-FIND("/",$B30))))))</f>
        <v>0</v>
      </c>
      <c r="AQ30" s="72">
        <f t="shared" ref="AQ30:AQ34" si="37">_xlfn.NUMBERVALUE(IF(M30=0,0,IF(M30=1,LEFT($B30,FIND("/",$B30)-1),SUM(LEFT($B30,FIND("/",$B30)-1),RIGHT($B30,LEN($B30)-FIND("/",$B30))))))</f>
        <v>0</v>
      </c>
      <c r="AR30" s="72">
        <f t="shared" ref="AR30:AR34" si="38">_xlfn.NUMBERVALUE(IF(N30=0,0,IF(N30=1,LEFT($B30,FIND("/",$B30)-1),SUM(LEFT($B30,FIND("/",$B30)-1),RIGHT($B30,LEN($B30)-FIND("/",$B30))))))</f>
        <v>0</v>
      </c>
      <c r="AS30" s="72">
        <f t="shared" ref="AS30:AS34" si="39">_xlfn.NUMBERVALUE(IF(O30=0,0,IF(O30=1,LEFT($B30,FIND("/",$B30)-1),SUM(LEFT($B30,FIND("/",$B30)-1),RIGHT($B30,LEN($B30)-FIND("/",$B30))))))</f>
        <v>0</v>
      </c>
      <c r="AT30" s="72">
        <f t="shared" ref="AT30:AT34" si="40">_xlfn.NUMBERVALUE(IF(P30=0,0,IF(P30=1,LEFT($B30,FIND("/",$B30)-1),SUM(LEFT($B30,FIND("/",$B30)-1),RIGHT($B30,LEN($B30)-FIND("/",$B30))))))</f>
        <v>0</v>
      </c>
      <c r="AU30" s="72">
        <f t="shared" ref="AU30:AU34" si="41">_xlfn.NUMBERVALUE(IF(Q30=0,0,IF(Q30=1,LEFT($B30,FIND("/",$B30)-1),SUM(LEFT($B30,FIND("/",$B30)-1),RIGHT($B30,LEN($B30)-FIND("/",$B30))))))</f>
        <v>0</v>
      </c>
      <c r="AV30" s="72">
        <f t="shared" ref="AV30:AV34" si="42">_xlfn.NUMBERVALUE(IF(R30=0,0,IF(R30=1,LEFT($B30,FIND("/",$B30)-1),SUM(LEFT($B30,FIND("/",$B30)-1),RIGHT($B30,LEN($B30)-FIND("/",$B30))))))</f>
        <v>0</v>
      </c>
      <c r="AW30" s="72">
        <f t="shared" ref="AW30:AW34" si="43">_xlfn.NUMBERVALUE(IF(S30=0,0,IF(S30=1,LEFT($B30,FIND("/",$B30)-1),SUM(LEFT($B30,FIND("/",$B30)-1),RIGHT($B30,LEN($B30)-FIND("/",$B30))))))</f>
        <v>0</v>
      </c>
      <c r="AX30" s="72">
        <f t="shared" ref="AX30:AX34" si="44">_xlfn.NUMBERVALUE(IF(T30=0,0,IF(T30=1,LEFT($B30,FIND("/",$B30)-1),SUM(LEFT($B30,FIND("/",$B30)-1),RIGHT($B30,LEN($B30)-FIND("/",$B30))))))</f>
        <v>0</v>
      </c>
      <c r="AY30" s="72">
        <f t="shared" ref="AY30:AY34" si="45">_xlfn.NUMBERVALUE(IF(U30=0,0,IF(U30=1,LEFT($B30,FIND("/",$B30)-1),SUM(LEFT($B30,FIND("/",$B30)-1),RIGHT($B30,LEN($B30)-FIND("/",$B30))))))</f>
        <v>0</v>
      </c>
      <c r="AZ30" s="72">
        <f t="shared" ref="AZ30:AZ34" si="46">_xlfn.NUMBERVALUE(IF(V30=0,0,IF(V30=1,LEFT($B30,FIND("/",$B30)-1),SUM(LEFT($B30,FIND("/",$B30)-1),RIGHT($B30,LEN($B30)-FIND("/",$B30))))))</f>
        <v>0</v>
      </c>
      <c r="BA30" s="72">
        <f t="shared" ref="BA30:BA34" si="47">_xlfn.NUMBERVALUE(IF(W30=0,0,IF(W30=1,LEFT($B30,FIND("/",$B30)-1),SUM(LEFT($B30,FIND("/",$B30)-1),RIGHT($B30,LEN($B30)-FIND("/",$B30))))))</f>
        <v>0</v>
      </c>
      <c r="BB30" s="72">
        <f t="shared" ref="BB30:BB34" si="48">_xlfn.NUMBERVALUE(IF(X30=0,0,IF(X30=1,LEFT($B30,FIND("/",$B30)-1),SUM(LEFT($B30,FIND("/",$B30)-1),RIGHT($B30,LEN($B30)-FIND("/",$B30))))))</f>
        <v>0</v>
      </c>
      <c r="BC30" s="72">
        <f t="shared" ref="BC30:BC34" si="49">_xlfn.NUMBERVALUE(IF(Y30=0,0,IF(Y30=1,LEFT($B30,FIND("/",$B30)-1),SUM(LEFT($B30,FIND("/",$B30)-1),RIGHT($B30,LEN($B30)-FIND("/",$B30))))))</f>
        <v>0</v>
      </c>
      <c r="BD30" s="72">
        <f t="shared" ref="BD30:BD34" si="50">_xlfn.NUMBERVALUE(IF(Z30=0,0,IF(Z30=1,LEFT($B30,FIND("/",$B30)-1),SUM(LEFT($B30,FIND("/",$B30)-1),RIGHT($B30,LEN($B30)-FIND("/",$B30))))))</f>
        <v>0</v>
      </c>
      <c r="BE30" s="72">
        <f t="shared" ref="BE30:BE34" si="51">_xlfn.NUMBERVALUE(IF(AA30=0,0,IF(AA30=1,LEFT($B30,FIND("/",$B30)-1),SUM(LEFT($B30,FIND("/",$B30)-1),RIGHT($B30,LEN($B30)-FIND("/",$B30))))))</f>
        <v>0</v>
      </c>
      <c r="BF30" s="72">
        <f t="shared" ref="BF30:BF34" si="52">_xlfn.NUMBERVALUE(IF(AB30=0,0,IF(AB30=1,LEFT($B30,FIND("/",$B30)-1),SUM(LEFT($B30,FIND("/",$B30)-1),RIGHT($B30,LEN($B30)-FIND("/",$B30))))))</f>
        <v>0</v>
      </c>
    </row>
    <row r="31" spans="1:58" x14ac:dyDescent="0.25">
      <c r="A31" s="34" t="s">
        <v>130</v>
      </c>
      <c r="B31" s="1" t="e">
        <f t="shared" si="29"/>
        <v>#N/A</v>
      </c>
      <c r="C31" s="1"/>
      <c r="D31" s="1"/>
      <c r="E31" t="s">
        <v>317</v>
      </c>
      <c r="F31" s="77" t="s">
        <v>465</v>
      </c>
      <c r="G31" s="1" t="s">
        <v>134</v>
      </c>
      <c r="H31" s="1">
        <f>Worksheet!P42</f>
        <v>0</v>
      </c>
      <c r="AC31" s="1">
        <f>SUM(I31:INDEX(I31:AB31,Level))+H31</f>
        <v>0</v>
      </c>
      <c r="AD31" s="45">
        <f t="shared" si="30"/>
        <v>-25</v>
      </c>
      <c r="AE31" s="45" cm="1">
        <f t="array" aca="1" ref="AE31" ca="1">IF(G31="NA",0,INDIRECT(LEFT(G31,2))+INDIRECT(MID(G31,4,2))+INDIRECT(RIGHT(G31,2)))</f>
        <v>16</v>
      </c>
      <c r="AF31" s="45">
        <f t="shared" si="31"/>
        <v>0</v>
      </c>
      <c r="AG31" s="45">
        <f t="shared" si="32"/>
        <v>0</v>
      </c>
      <c r="AH31" s="45"/>
      <c r="AI31" s="51">
        <f t="shared" ca="1" si="28"/>
        <v>-9</v>
      </c>
      <c r="AM31" s="72">
        <f t="shared" si="33"/>
        <v>0</v>
      </c>
      <c r="AN31" s="72">
        <f t="shared" si="34"/>
        <v>0</v>
      </c>
      <c r="AO31" s="72">
        <f t="shared" si="35"/>
        <v>0</v>
      </c>
      <c r="AP31" s="72">
        <f t="shared" si="36"/>
        <v>0</v>
      </c>
      <c r="AQ31" s="72">
        <f t="shared" si="37"/>
        <v>0</v>
      </c>
      <c r="AR31" s="72">
        <f t="shared" si="38"/>
        <v>0</v>
      </c>
      <c r="AS31" s="72">
        <f t="shared" si="39"/>
        <v>0</v>
      </c>
      <c r="AT31" s="72">
        <f t="shared" si="40"/>
        <v>0</v>
      </c>
      <c r="AU31" s="72">
        <f t="shared" si="41"/>
        <v>0</v>
      </c>
      <c r="AV31" s="72">
        <f t="shared" si="42"/>
        <v>0</v>
      </c>
      <c r="AW31" s="72">
        <f t="shared" si="43"/>
        <v>0</v>
      </c>
      <c r="AX31" s="72">
        <f t="shared" si="44"/>
        <v>0</v>
      </c>
      <c r="AY31" s="72">
        <f t="shared" si="45"/>
        <v>0</v>
      </c>
      <c r="AZ31" s="72">
        <f t="shared" si="46"/>
        <v>0</v>
      </c>
      <c r="BA31" s="72">
        <f t="shared" si="47"/>
        <v>0</v>
      </c>
      <c r="BB31" s="72">
        <f t="shared" si="48"/>
        <v>0</v>
      </c>
      <c r="BC31" s="72">
        <f t="shared" si="49"/>
        <v>0</v>
      </c>
      <c r="BD31" s="72">
        <f t="shared" si="50"/>
        <v>0</v>
      </c>
      <c r="BE31" s="72">
        <f t="shared" si="51"/>
        <v>0</v>
      </c>
      <c r="BF31" s="72">
        <f t="shared" si="52"/>
        <v>0</v>
      </c>
    </row>
    <row r="32" spans="1:58" x14ac:dyDescent="0.25">
      <c r="A32" s="34" t="s">
        <v>130</v>
      </c>
      <c r="B32" s="1" t="e">
        <f t="shared" si="29"/>
        <v>#N/A</v>
      </c>
      <c r="C32" s="1"/>
      <c r="D32" s="1"/>
      <c r="E32" t="s">
        <v>317</v>
      </c>
      <c r="F32" s="77" t="s">
        <v>466</v>
      </c>
      <c r="G32" s="1" t="s">
        <v>134</v>
      </c>
      <c r="H32" s="1">
        <f>Worksheet!P43</f>
        <v>0</v>
      </c>
      <c r="AC32" s="1">
        <f>SUM(I32:INDEX(I32:AB32,Level))+H32</f>
        <v>0</v>
      </c>
      <c r="AD32" s="45">
        <f t="shared" si="30"/>
        <v>-25</v>
      </c>
      <c r="AE32" s="45" cm="1">
        <f t="array" aca="1" ref="AE32" ca="1">IF(G32="NA",0,INDIRECT(LEFT(G32,2))+INDIRECT(MID(G32,4,2))+INDIRECT(RIGHT(G32,2)))</f>
        <v>16</v>
      </c>
      <c r="AF32" s="45">
        <f t="shared" si="31"/>
        <v>0</v>
      </c>
      <c r="AG32" s="45">
        <f t="shared" si="32"/>
        <v>0</v>
      </c>
      <c r="AH32" s="45"/>
      <c r="AI32" s="51">
        <f t="shared" ca="1" si="28"/>
        <v>-9</v>
      </c>
      <c r="AM32" s="72">
        <f t="shared" si="33"/>
        <v>0</v>
      </c>
      <c r="AN32" s="72">
        <f t="shared" si="34"/>
        <v>0</v>
      </c>
      <c r="AO32" s="72">
        <f t="shared" si="35"/>
        <v>0</v>
      </c>
      <c r="AP32" s="72">
        <f t="shared" si="36"/>
        <v>0</v>
      </c>
      <c r="AQ32" s="72">
        <f t="shared" si="37"/>
        <v>0</v>
      </c>
      <c r="AR32" s="72">
        <f t="shared" si="38"/>
        <v>0</v>
      </c>
      <c r="AS32" s="72">
        <f t="shared" si="39"/>
        <v>0</v>
      </c>
      <c r="AT32" s="72">
        <f t="shared" si="40"/>
        <v>0</v>
      </c>
      <c r="AU32" s="72">
        <f t="shared" si="41"/>
        <v>0</v>
      </c>
      <c r="AV32" s="72">
        <f t="shared" si="42"/>
        <v>0</v>
      </c>
      <c r="AW32" s="72">
        <f t="shared" si="43"/>
        <v>0</v>
      </c>
      <c r="AX32" s="72">
        <f t="shared" si="44"/>
        <v>0</v>
      </c>
      <c r="AY32" s="72">
        <f t="shared" si="45"/>
        <v>0</v>
      </c>
      <c r="AZ32" s="72">
        <f t="shared" si="46"/>
        <v>0</v>
      </c>
      <c r="BA32" s="72">
        <f t="shared" si="47"/>
        <v>0</v>
      </c>
      <c r="BB32" s="72">
        <f t="shared" si="48"/>
        <v>0</v>
      </c>
      <c r="BC32" s="72">
        <f t="shared" si="49"/>
        <v>0</v>
      </c>
      <c r="BD32" s="72">
        <f t="shared" si="50"/>
        <v>0</v>
      </c>
      <c r="BE32" s="72">
        <f t="shared" si="51"/>
        <v>0</v>
      </c>
      <c r="BF32" s="72">
        <f t="shared" si="52"/>
        <v>0</v>
      </c>
    </row>
    <row r="33" spans="1:58" x14ac:dyDescent="0.25">
      <c r="A33" s="34" t="s">
        <v>130</v>
      </c>
      <c r="B33" s="1" t="e">
        <f t="shared" si="29"/>
        <v>#N/A</v>
      </c>
      <c r="C33" s="1"/>
      <c r="D33" s="1"/>
      <c r="E33" t="s">
        <v>317</v>
      </c>
      <c r="F33" s="77" t="s">
        <v>467</v>
      </c>
      <c r="G33" s="1" t="s">
        <v>134</v>
      </c>
      <c r="H33" s="1">
        <f>Worksheet!P44</f>
        <v>0</v>
      </c>
      <c r="AC33" s="1">
        <f>SUM(I33:INDEX(I33:AB33,Level))+H33</f>
        <v>0</v>
      </c>
      <c r="AD33" s="45">
        <f t="shared" si="30"/>
        <v>-25</v>
      </c>
      <c r="AE33" s="45" cm="1">
        <f t="array" aca="1" ref="AE33" ca="1">IF(G33="NA",0,INDIRECT(LEFT(G33,2))+INDIRECT(MID(G33,4,2))+INDIRECT(RIGHT(G33,2)))</f>
        <v>16</v>
      </c>
      <c r="AF33" s="45">
        <f t="shared" si="31"/>
        <v>0</v>
      </c>
      <c r="AG33" s="45">
        <f t="shared" si="32"/>
        <v>0</v>
      </c>
      <c r="AH33" s="45"/>
      <c r="AI33" s="51">
        <f t="shared" ca="1" si="28"/>
        <v>-9</v>
      </c>
      <c r="AM33" s="72">
        <f t="shared" si="33"/>
        <v>0</v>
      </c>
      <c r="AN33" s="72">
        <f t="shared" si="34"/>
        <v>0</v>
      </c>
      <c r="AO33" s="72">
        <f t="shared" si="35"/>
        <v>0</v>
      </c>
      <c r="AP33" s="72">
        <f t="shared" si="36"/>
        <v>0</v>
      </c>
      <c r="AQ33" s="72">
        <f t="shared" si="37"/>
        <v>0</v>
      </c>
      <c r="AR33" s="72">
        <f t="shared" si="38"/>
        <v>0</v>
      </c>
      <c r="AS33" s="72">
        <f t="shared" si="39"/>
        <v>0</v>
      </c>
      <c r="AT33" s="72">
        <f t="shared" si="40"/>
        <v>0</v>
      </c>
      <c r="AU33" s="72">
        <f t="shared" si="41"/>
        <v>0</v>
      </c>
      <c r="AV33" s="72">
        <f t="shared" si="42"/>
        <v>0</v>
      </c>
      <c r="AW33" s="72">
        <f t="shared" si="43"/>
        <v>0</v>
      </c>
      <c r="AX33" s="72">
        <f t="shared" si="44"/>
        <v>0</v>
      </c>
      <c r="AY33" s="72">
        <f t="shared" si="45"/>
        <v>0</v>
      </c>
      <c r="AZ33" s="72">
        <f t="shared" si="46"/>
        <v>0</v>
      </c>
      <c r="BA33" s="72">
        <f t="shared" si="47"/>
        <v>0</v>
      </c>
      <c r="BB33" s="72">
        <f t="shared" si="48"/>
        <v>0</v>
      </c>
      <c r="BC33" s="72">
        <f t="shared" si="49"/>
        <v>0</v>
      </c>
      <c r="BD33" s="72">
        <f t="shared" si="50"/>
        <v>0</v>
      </c>
      <c r="BE33" s="72">
        <f t="shared" si="51"/>
        <v>0</v>
      </c>
      <c r="BF33" s="72">
        <f t="shared" si="52"/>
        <v>0</v>
      </c>
    </row>
    <row r="34" spans="1:58" x14ac:dyDescent="0.25">
      <c r="A34" s="34" t="s">
        <v>130</v>
      </c>
      <c r="B34" s="1" t="e">
        <f t="shared" si="29"/>
        <v>#N/A</v>
      </c>
      <c r="C34" s="1"/>
      <c r="D34" s="1"/>
      <c r="E34" t="s">
        <v>317</v>
      </c>
      <c r="F34" s="77" t="s">
        <v>468</v>
      </c>
      <c r="G34" s="1" t="s">
        <v>134</v>
      </c>
      <c r="H34" s="1">
        <f>Worksheet!P45</f>
        <v>0</v>
      </c>
      <c r="AC34" s="1">
        <f>SUM(I34:INDEX(I34:AB34,Level))+H34</f>
        <v>0</v>
      </c>
      <c r="AD34" s="45">
        <f t="shared" si="30"/>
        <v>-25</v>
      </c>
      <c r="AE34" s="45" cm="1">
        <f t="array" aca="1" ref="AE34" ca="1">IF(G34="NA",0,INDIRECT(LEFT(G34,2))+INDIRECT(MID(G34,4,2))+INDIRECT(RIGHT(G34,2)))</f>
        <v>16</v>
      </c>
      <c r="AF34" s="45">
        <f t="shared" si="31"/>
        <v>0</v>
      </c>
      <c r="AG34" s="45">
        <f t="shared" si="32"/>
        <v>0</v>
      </c>
      <c r="AH34" s="45"/>
      <c r="AI34" s="51">
        <f t="shared" ca="1" si="28"/>
        <v>-9</v>
      </c>
      <c r="AM34" s="72">
        <f t="shared" si="33"/>
        <v>0</v>
      </c>
      <c r="AN34" s="72">
        <f t="shared" si="34"/>
        <v>0</v>
      </c>
      <c r="AO34" s="72">
        <f t="shared" si="35"/>
        <v>0</v>
      </c>
      <c r="AP34" s="72">
        <f t="shared" si="36"/>
        <v>0</v>
      </c>
      <c r="AQ34" s="72">
        <f t="shared" si="37"/>
        <v>0</v>
      </c>
      <c r="AR34" s="72">
        <f t="shared" si="38"/>
        <v>0</v>
      </c>
      <c r="AS34" s="72">
        <f t="shared" si="39"/>
        <v>0</v>
      </c>
      <c r="AT34" s="72">
        <f t="shared" si="40"/>
        <v>0</v>
      </c>
      <c r="AU34" s="72">
        <f t="shared" si="41"/>
        <v>0</v>
      </c>
      <c r="AV34" s="72">
        <f t="shared" si="42"/>
        <v>0</v>
      </c>
      <c r="AW34" s="72">
        <f t="shared" si="43"/>
        <v>0</v>
      </c>
      <c r="AX34" s="72">
        <f t="shared" si="44"/>
        <v>0</v>
      </c>
      <c r="AY34" s="72">
        <f t="shared" si="45"/>
        <v>0</v>
      </c>
      <c r="AZ34" s="72">
        <f t="shared" si="46"/>
        <v>0</v>
      </c>
      <c r="BA34" s="72">
        <f t="shared" si="47"/>
        <v>0</v>
      </c>
      <c r="BB34" s="72">
        <f t="shared" si="48"/>
        <v>0</v>
      </c>
      <c r="BC34" s="72">
        <f t="shared" si="49"/>
        <v>0</v>
      </c>
      <c r="BD34" s="72">
        <f t="shared" si="50"/>
        <v>0</v>
      </c>
      <c r="BE34" s="72">
        <f t="shared" si="51"/>
        <v>0</v>
      </c>
      <c r="BF34" s="72">
        <f t="shared" si="52"/>
        <v>0</v>
      </c>
    </row>
    <row r="35" spans="1:58" x14ac:dyDescent="0.25">
      <c r="A35" s="34" t="s">
        <v>130</v>
      </c>
      <c r="B35" s="1" t="e">
        <f t="shared" si="29"/>
        <v>#N/A</v>
      </c>
      <c r="C35" s="1"/>
      <c r="D35" s="1"/>
      <c r="E35" t="s">
        <v>317</v>
      </c>
      <c r="F35" s="77" t="s">
        <v>469</v>
      </c>
      <c r="G35" s="1" t="s">
        <v>134</v>
      </c>
      <c r="H35" s="1">
        <f>Worksheet!P46</f>
        <v>0</v>
      </c>
      <c r="AC35" s="1">
        <f>SUM(I35:INDEX(I35:AB35,Level))+H35</f>
        <v>0</v>
      </c>
      <c r="AD35" s="45">
        <f t="shared" si="5"/>
        <v>-25</v>
      </c>
      <c r="AE35" s="45" cm="1">
        <f t="array" aca="1" ref="AE35" ca="1">IF(G35="NA",0,INDIRECT(LEFT(G35,2))+INDIRECT(MID(G35,4,2))+INDIRECT(RIGHT(G35,2)))</f>
        <v>16</v>
      </c>
      <c r="AF35" s="45">
        <f t="shared" si="26"/>
        <v>0</v>
      </c>
      <c r="AG35" s="45">
        <f t="shared" si="27"/>
        <v>0</v>
      </c>
      <c r="AH35" s="45"/>
      <c r="AI35" s="51">
        <f t="shared" ca="1" si="28"/>
        <v>-9</v>
      </c>
      <c r="AM35" s="72">
        <f t="shared" si="6"/>
        <v>0</v>
      </c>
      <c r="AN35" s="72">
        <f t="shared" si="7"/>
        <v>0</v>
      </c>
      <c r="AO35" s="72">
        <f t="shared" si="8"/>
        <v>0</v>
      </c>
      <c r="AP35" s="72">
        <f t="shared" si="9"/>
        <v>0</v>
      </c>
      <c r="AQ35" s="72">
        <f t="shared" si="10"/>
        <v>0</v>
      </c>
      <c r="AR35" s="72">
        <f t="shared" si="11"/>
        <v>0</v>
      </c>
      <c r="AS35" s="72">
        <f t="shared" si="12"/>
        <v>0</v>
      </c>
      <c r="AT35" s="72">
        <f t="shared" si="13"/>
        <v>0</v>
      </c>
      <c r="AU35" s="72">
        <f t="shared" si="14"/>
        <v>0</v>
      </c>
      <c r="AV35" s="72">
        <f t="shared" si="15"/>
        <v>0</v>
      </c>
      <c r="AW35" s="72">
        <f t="shared" si="16"/>
        <v>0</v>
      </c>
      <c r="AX35" s="72">
        <f t="shared" si="17"/>
        <v>0</v>
      </c>
      <c r="AY35" s="72">
        <f t="shared" si="18"/>
        <v>0</v>
      </c>
      <c r="AZ35" s="72">
        <f t="shared" si="19"/>
        <v>0</v>
      </c>
      <c r="BA35" s="72">
        <f t="shared" si="20"/>
        <v>0</v>
      </c>
      <c r="BB35" s="72">
        <f t="shared" si="21"/>
        <v>0</v>
      </c>
      <c r="BC35" s="72">
        <f t="shared" si="22"/>
        <v>0</v>
      </c>
      <c r="BD35" s="72">
        <f t="shared" si="23"/>
        <v>0</v>
      </c>
      <c r="BE35" s="72">
        <f t="shared" si="24"/>
        <v>0</v>
      </c>
      <c r="BF35" s="72">
        <f t="shared" si="25"/>
        <v>0</v>
      </c>
    </row>
    <row r="36" spans="1:58" x14ac:dyDescent="0.25">
      <c r="A36" s="34" t="s">
        <v>130</v>
      </c>
      <c r="B36" s="1" t="e">
        <f t="shared" si="29"/>
        <v>#N/A</v>
      </c>
      <c r="C36" s="1"/>
      <c r="D36" s="1"/>
      <c r="E36" t="s">
        <v>317</v>
      </c>
      <c r="F36" s="77" t="s">
        <v>470</v>
      </c>
      <c r="G36" s="1" t="s">
        <v>134</v>
      </c>
      <c r="H36" s="1">
        <f>Worksheet!P47</f>
        <v>0</v>
      </c>
      <c r="AC36" s="1">
        <f>SUM(I36:INDEX(I36:AB36,Level))+H36</f>
        <v>0</v>
      </c>
      <c r="AD36" s="45">
        <f t="shared" si="5"/>
        <v>-25</v>
      </c>
      <c r="AE36" s="45" cm="1">
        <f t="array" aca="1" ref="AE36" ca="1">IF(G36="NA",0,INDIRECT(LEFT(G36,2))+INDIRECT(MID(G36,4,2))+INDIRECT(RIGHT(G36,2)))</f>
        <v>16</v>
      </c>
      <c r="AF36" s="45">
        <f t="shared" si="26"/>
        <v>0</v>
      </c>
      <c r="AG36" s="45">
        <f t="shared" si="27"/>
        <v>0</v>
      </c>
      <c r="AH36" s="45"/>
      <c r="AI36" s="51">
        <f t="shared" ca="1" si="28"/>
        <v>-9</v>
      </c>
      <c r="AM36" s="72">
        <f t="shared" si="6"/>
        <v>0</v>
      </c>
      <c r="AN36" s="72">
        <f t="shared" si="7"/>
        <v>0</v>
      </c>
      <c r="AO36" s="72">
        <f t="shared" si="8"/>
        <v>0</v>
      </c>
      <c r="AP36" s="72">
        <f t="shared" si="9"/>
        <v>0</v>
      </c>
      <c r="AQ36" s="72">
        <f t="shared" si="10"/>
        <v>0</v>
      </c>
      <c r="AR36" s="72">
        <f t="shared" si="11"/>
        <v>0</v>
      </c>
      <c r="AS36" s="72">
        <f t="shared" si="12"/>
        <v>0</v>
      </c>
      <c r="AT36" s="72">
        <f t="shared" si="13"/>
        <v>0</v>
      </c>
      <c r="AU36" s="72">
        <f t="shared" si="14"/>
        <v>0</v>
      </c>
      <c r="AV36" s="72">
        <f t="shared" si="15"/>
        <v>0</v>
      </c>
      <c r="AW36" s="72">
        <f t="shared" si="16"/>
        <v>0</v>
      </c>
      <c r="AX36" s="72">
        <f t="shared" si="17"/>
        <v>0</v>
      </c>
      <c r="AY36" s="72">
        <f t="shared" si="18"/>
        <v>0</v>
      </c>
      <c r="AZ36" s="72">
        <f t="shared" si="19"/>
        <v>0</v>
      </c>
      <c r="BA36" s="72">
        <f t="shared" si="20"/>
        <v>0</v>
      </c>
      <c r="BB36" s="72">
        <f t="shared" si="21"/>
        <v>0</v>
      </c>
      <c r="BC36" s="72">
        <f t="shared" si="22"/>
        <v>0</v>
      </c>
      <c r="BD36" s="72">
        <f t="shared" si="23"/>
        <v>0</v>
      </c>
      <c r="BE36" s="72">
        <f t="shared" si="24"/>
        <v>0</v>
      </c>
      <c r="BF36" s="72">
        <f t="shared" si="25"/>
        <v>0</v>
      </c>
    </row>
    <row r="37" spans="1:58" x14ac:dyDescent="0.25">
      <c r="A37" s="34" t="s">
        <v>130</v>
      </c>
      <c r="B37" s="1" t="e">
        <f>Cost_Unarmed</f>
        <v>#N/A</v>
      </c>
      <c r="C37" s="1"/>
      <c r="D37" s="1"/>
      <c r="E37" t="s">
        <v>132</v>
      </c>
      <c r="F37" s="77" t="s">
        <v>476</v>
      </c>
      <c r="G37" s="1" t="s">
        <v>134</v>
      </c>
      <c r="H37" s="1">
        <f>Worksheet!P37</f>
        <v>0</v>
      </c>
      <c r="AC37" s="1">
        <f>SUM(I37:INDEX(I37:AB37,Level))+H37</f>
        <v>0</v>
      </c>
      <c r="AD37" s="45">
        <f t="shared" si="5"/>
        <v>-25</v>
      </c>
      <c r="AE37" s="45" cm="1">
        <f t="array" aca="1" ref="AE37" ca="1">IF(G37="NA",0,INDIRECT(LEFT(G37,2))+INDIRECT(MID(G37,4,2))+INDIRECT(RIGHT(G37,2)))</f>
        <v>16</v>
      </c>
      <c r="AF37" s="45">
        <f t="shared" si="26"/>
        <v>0</v>
      </c>
      <c r="AG37" s="45">
        <f t="shared" si="27"/>
        <v>0</v>
      </c>
      <c r="AH37" s="45"/>
      <c r="AI37" s="51">
        <f t="shared" ca="1" si="28"/>
        <v>-9</v>
      </c>
      <c r="AM37" s="72">
        <f t="shared" si="6"/>
        <v>0</v>
      </c>
      <c r="AN37" s="72">
        <f t="shared" si="7"/>
        <v>0</v>
      </c>
      <c r="AO37" s="72">
        <f t="shared" si="8"/>
        <v>0</v>
      </c>
      <c r="AP37" s="72">
        <f t="shared" si="9"/>
        <v>0</v>
      </c>
      <c r="AQ37" s="72">
        <f t="shared" si="10"/>
        <v>0</v>
      </c>
      <c r="AR37" s="72">
        <f t="shared" si="11"/>
        <v>0</v>
      </c>
      <c r="AS37" s="72">
        <f t="shared" si="12"/>
        <v>0</v>
      </c>
      <c r="AT37" s="72">
        <f t="shared" si="13"/>
        <v>0</v>
      </c>
      <c r="AU37" s="72">
        <f t="shared" si="14"/>
        <v>0</v>
      </c>
      <c r="AV37" s="72">
        <f t="shared" si="15"/>
        <v>0</v>
      </c>
      <c r="AW37" s="72">
        <f t="shared" si="16"/>
        <v>0</v>
      </c>
      <c r="AX37" s="72">
        <f t="shared" si="17"/>
        <v>0</v>
      </c>
      <c r="AY37" s="72">
        <f t="shared" si="18"/>
        <v>0</v>
      </c>
      <c r="AZ37" s="72">
        <f t="shared" si="19"/>
        <v>0</v>
      </c>
      <c r="BA37" s="72">
        <f t="shared" si="20"/>
        <v>0</v>
      </c>
      <c r="BB37" s="72">
        <f t="shared" si="21"/>
        <v>0</v>
      </c>
      <c r="BC37" s="72">
        <f t="shared" si="22"/>
        <v>0</v>
      </c>
      <c r="BD37" s="72">
        <f t="shared" si="23"/>
        <v>0</v>
      </c>
      <c r="BE37" s="72">
        <f t="shared" si="24"/>
        <v>0</v>
      </c>
      <c r="BF37" s="72">
        <f t="shared" si="25"/>
        <v>0</v>
      </c>
    </row>
    <row r="38" spans="1:58" x14ac:dyDescent="0.25">
      <c r="A38" s="34" t="s">
        <v>130</v>
      </c>
      <c r="B38" s="1" t="e">
        <f>Cost_Unarmed</f>
        <v>#N/A</v>
      </c>
      <c r="C38" s="1"/>
      <c r="D38" s="1"/>
      <c r="E38" t="s">
        <v>132</v>
      </c>
      <c r="F38" s="77" t="s">
        <v>477</v>
      </c>
      <c r="G38" s="1" t="s">
        <v>135</v>
      </c>
      <c r="H38" s="1">
        <f>Worksheet!P38</f>
        <v>0</v>
      </c>
      <c r="AC38" s="1">
        <f>SUM(I38:INDEX(I38:AB38,Level))+H38</f>
        <v>0</v>
      </c>
      <c r="AD38" s="45">
        <f t="shared" si="5"/>
        <v>-25</v>
      </c>
      <c r="AE38" s="45" cm="1">
        <f t="array" aca="1" ref="AE38" ca="1">IF(G38="NA",0,INDIRECT(LEFT(G38,2))+INDIRECT(MID(G38,4,2))+INDIRECT(RIGHT(G38,2)))</f>
        <v>8</v>
      </c>
      <c r="AF38" s="45">
        <f t="shared" si="26"/>
        <v>0</v>
      </c>
      <c r="AG38" s="45">
        <f t="shared" si="27"/>
        <v>0</v>
      </c>
      <c r="AH38" s="45"/>
      <c r="AI38" s="51">
        <f t="shared" ca="1" si="28"/>
        <v>-17</v>
      </c>
      <c r="AM38" s="72">
        <f t="shared" si="6"/>
        <v>0</v>
      </c>
      <c r="AN38" s="72">
        <f t="shared" si="7"/>
        <v>0</v>
      </c>
      <c r="AO38" s="72">
        <f t="shared" si="8"/>
        <v>0</v>
      </c>
      <c r="AP38" s="72">
        <f t="shared" si="9"/>
        <v>0</v>
      </c>
      <c r="AQ38" s="72">
        <f t="shared" si="10"/>
        <v>0</v>
      </c>
      <c r="AR38" s="72">
        <f t="shared" si="11"/>
        <v>0</v>
      </c>
      <c r="AS38" s="72">
        <f t="shared" si="12"/>
        <v>0</v>
      </c>
      <c r="AT38" s="72">
        <f t="shared" si="13"/>
        <v>0</v>
      </c>
      <c r="AU38" s="72">
        <f t="shared" si="14"/>
        <v>0</v>
      </c>
      <c r="AV38" s="72">
        <f t="shared" si="15"/>
        <v>0</v>
      </c>
      <c r="AW38" s="72">
        <f t="shared" si="16"/>
        <v>0</v>
      </c>
      <c r="AX38" s="72">
        <f t="shared" si="17"/>
        <v>0</v>
      </c>
      <c r="AY38" s="72">
        <f t="shared" si="18"/>
        <v>0</v>
      </c>
      <c r="AZ38" s="72">
        <f t="shared" si="19"/>
        <v>0</v>
      </c>
      <c r="BA38" s="72">
        <f t="shared" si="20"/>
        <v>0</v>
      </c>
      <c r="BB38" s="72">
        <f t="shared" si="21"/>
        <v>0</v>
      </c>
      <c r="BC38" s="72">
        <f t="shared" si="22"/>
        <v>0</v>
      </c>
      <c r="BD38" s="72">
        <f t="shared" si="23"/>
        <v>0</v>
      </c>
      <c r="BE38" s="72">
        <f t="shared" si="24"/>
        <v>0</v>
      </c>
      <c r="BF38" s="72">
        <f t="shared" si="25"/>
        <v>0</v>
      </c>
    </row>
    <row r="39" spans="1:58" x14ac:dyDescent="0.25">
      <c r="A39" s="34" t="s">
        <v>130</v>
      </c>
      <c r="B39" s="1" t="e">
        <f>Cost_Unarmed</f>
        <v>#N/A</v>
      </c>
      <c r="C39" s="1"/>
      <c r="D39" s="1"/>
      <c r="E39" t="s">
        <v>132</v>
      </c>
      <c r="F39" s="77" t="s">
        <v>437</v>
      </c>
      <c r="G39" s="1" t="s">
        <v>135</v>
      </c>
      <c r="H39" s="1">
        <f>Worksheet!P39</f>
        <v>0</v>
      </c>
      <c r="AC39" s="1">
        <f>SUM(I39:INDEX(I39:AB39,Level))+H39</f>
        <v>0</v>
      </c>
      <c r="AD39" s="45">
        <f t="shared" si="5"/>
        <v>-25</v>
      </c>
      <c r="AE39" s="45" cm="1">
        <f t="array" aca="1" ref="AE39" ca="1">IF(G39="NA",0,INDIRECT(LEFT(G39,2))+INDIRECT(MID(G39,4,2))+INDIRECT(RIGHT(G39,2)))</f>
        <v>8</v>
      </c>
      <c r="AF39" s="45">
        <f t="shared" si="26"/>
        <v>0</v>
      </c>
      <c r="AG39" s="45">
        <f t="shared" si="27"/>
        <v>0</v>
      </c>
      <c r="AH39" s="45"/>
      <c r="AI39" s="51">
        <f t="shared" ca="1" si="28"/>
        <v>-17</v>
      </c>
      <c r="AM39" s="72">
        <f t="shared" si="6"/>
        <v>0</v>
      </c>
      <c r="AN39" s="72">
        <f t="shared" si="7"/>
        <v>0</v>
      </c>
      <c r="AO39" s="72">
        <f t="shared" si="8"/>
        <v>0</v>
      </c>
      <c r="AP39" s="72">
        <f t="shared" si="9"/>
        <v>0</v>
      </c>
      <c r="AQ39" s="72">
        <f t="shared" si="10"/>
        <v>0</v>
      </c>
      <c r="AR39" s="72">
        <f t="shared" si="11"/>
        <v>0</v>
      </c>
      <c r="AS39" s="72">
        <f t="shared" si="12"/>
        <v>0</v>
      </c>
      <c r="AT39" s="72">
        <f t="shared" si="13"/>
        <v>0</v>
      </c>
      <c r="AU39" s="72">
        <f t="shared" si="14"/>
        <v>0</v>
      </c>
      <c r="AV39" s="72">
        <f t="shared" si="15"/>
        <v>0</v>
      </c>
      <c r="AW39" s="72">
        <f t="shared" si="16"/>
        <v>0</v>
      </c>
      <c r="AX39" s="72">
        <f t="shared" si="17"/>
        <v>0</v>
      </c>
      <c r="AY39" s="72">
        <f t="shared" si="18"/>
        <v>0</v>
      </c>
      <c r="AZ39" s="72">
        <f t="shared" si="19"/>
        <v>0</v>
      </c>
      <c r="BA39" s="72">
        <f t="shared" si="20"/>
        <v>0</v>
      </c>
      <c r="BB39" s="72">
        <f t="shared" si="21"/>
        <v>0</v>
      </c>
      <c r="BC39" s="72">
        <f t="shared" si="22"/>
        <v>0</v>
      </c>
      <c r="BD39" s="72">
        <f t="shared" si="23"/>
        <v>0</v>
      </c>
      <c r="BE39" s="72">
        <f t="shared" si="24"/>
        <v>0</v>
      </c>
      <c r="BF39" s="72">
        <f t="shared" si="25"/>
        <v>0</v>
      </c>
    </row>
    <row r="40" spans="1:58" x14ac:dyDescent="0.25">
      <c r="A40" s="34" t="s">
        <v>130</v>
      </c>
      <c r="B40" s="1" t="e">
        <f>Cost_Ranged</f>
        <v>#N/A</v>
      </c>
      <c r="C40" s="1"/>
      <c r="D40" s="1"/>
      <c r="E40" t="s">
        <v>318</v>
      </c>
      <c r="F40" s="77" t="s">
        <v>471</v>
      </c>
      <c r="G40" s="1" t="s">
        <v>135</v>
      </c>
      <c r="H40" s="1">
        <f>Worksheet!P48</f>
        <v>0</v>
      </c>
      <c r="AC40" s="1">
        <f>SUM(I40:INDEX(I40:AB40,Level))+H40</f>
        <v>0</v>
      </c>
      <c r="AD40" s="45">
        <f t="shared" si="5"/>
        <v>-25</v>
      </c>
      <c r="AE40" s="45" cm="1">
        <f t="array" aca="1" ref="AE40" ca="1">IF(G40="NA",0,INDIRECT(LEFT(G40,2))+INDIRECT(MID(G40,4,2))+INDIRECT(RIGHT(G40,2)))</f>
        <v>8</v>
      </c>
      <c r="AF40" s="45">
        <f t="shared" si="26"/>
        <v>0</v>
      </c>
      <c r="AG40" s="45">
        <f t="shared" si="27"/>
        <v>0</v>
      </c>
      <c r="AH40" s="45">
        <f>Front!$M$30</f>
        <v>0</v>
      </c>
      <c r="AI40" s="51">
        <f t="shared" ca="1" si="28"/>
        <v>-17</v>
      </c>
      <c r="AM40" s="72">
        <f t="shared" si="6"/>
        <v>0</v>
      </c>
      <c r="AN40" s="72">
        <f t="shared" si="7"/>
        <v>0</v>
      </c>
      <c r="AO40" s="72">
        <f t="shared" si="8"/>
        <v>0</v>
      </c>
      <c r="AP40" s="72">
        <f t="shared" si="9"/>
        <v>0</v>
      </c>
      <c r="AQ40" s="72">
        <f t="shared" si="10"/>
        <v>0</v>
      </c>
      <c r="AR40" s="72">
        <f t="shared" si="11"/>
        <v>0</v>
      </c>
      <c r="AS40" s="72">
        <f t="shared" si="12"/>
        <v>0</v>
      </c>
      <c r="AT40" s="72">
        <f t="shared" si="13"/>
        <v>0</v>
      </c>
      <c r="AU40" s="72">
        <f t="shared" si="14"/>
        <v>0</v>
      </c>
      <c r="AV40" s="72">
        <f t="shared" si="15"/>
        <v>0</v>
      </c>
      <c r="AW40" s="72">
        <f t="shared" si="16"/>
        <v>0</v>
      </c>
      <c r="AX40" s="72">
        <f t="shared" si="17"/>
        <v>0</v>
      </c>
      <c r="AY40" s="72">
        <f t="shared" si="18"/>
        <v>0</v>
      </c>
      <c r="AZ40" s="72">
        <f t="shared" si="19"/>
        <v>0</v>
      </c>
      <c r="BA40" s="72">
        <f t="shared" si="20"/>
        <v>0</v>
      </c>
      <c r="BB40" s="72">
        <f t="shared" si="21"/>
        <v>0</v>
      </c>
      <c r="BC40" s="72">
        <f t="shared" si="22"/>
        <v>0</v>
      </c>
      <c r="BD40" s="72">
        <f t="shared" si="23"/>
        <v>0</v>
      </c>
      <c r="BE40" s="72">
        <f t="shared" si="24"/>
        <v>0</v>
      </c>
      <c r="BF40" s="72">
        <f t="shared" si="25"/>
        <v>0</v>
      </c>
    </row>
    <row r="41" spans="1:58" x14ac:dyDescent="0.25">
      <c r="A41" s="34" t="s">
        <v>130</v>
      </c>
      <c r="B41" s="1" t="e">
        <f>Cost_Ranged</f>
        <v>#N/A</v>
      </c>
      <c r="C41" s="1"/>
      <c r="D41" s="1"/>
      <c r="E41" t="s">
        <v>318</v>
      </c>
      <c r="F41" s="77" t="s">
        <v>472</v>
      </c>
      <c r="G41" s="1" t="s">
        <v>135</v>
      </c>
      <c r="H41" s="1">
        <f>Worksheet!P49</f>
        <v>0</v>
      </c>
      <c r="AC41" s="1">
        <f>SUM(I41:INDEX(I41:AB41,Level))+H41</f>
        <v>0</v>
      </c>
      <c r="AD41" s="45">
        <f t="shared" ref="AD41:AD42" si="53">IF(AC41&gt;30,100+AC41,VLOOKUP(AC41,Rank_Bonus,2,FALSE))</f>
        <v>-25</v>
      </c>
      <c r="AE41" s="45" cm="1">
        <f t="array" aca="1" ref="AE41" ca="1">IF(G41="NA",0,INDIRECT(LEFT(G41,2))+INDIRECT(MID(G41,4,2))+INDIRECT(RIGHT(G41,2)))</f>
        <v>8</v>
      </c>
      <c r="AF41" s="45">
        <f t="shared" ref="AF41:AF42" si="54">IF(C41="X",MIN(30,AC41),0)</f>
        <v>0</v>
      </c>
      <c r="AG41" s="45">
        <f t="shared" ref="AG41:AG42" si="55">IF(D41="X",5,0)</f>
        <v>0</v>
      </c>
      <c r="AH41" s="45">
        <f>Front!$M$30</f>
        <v>0</v>
      </c>
      <c r="AI41" s="51">
        <f t="shared" ca="1" si="28"/>
        <v>-17</v>
      </c>
      <c r="AM41" s="72">
        <f t="shared" ref="AM41:AM42" si="56">_xlfn.NUMBERVALUE(IF(I41=0,0,IF(I41=1,LEFT($B41,FIND("/",$B41)-1),SUM(LEFT($B41,FIND("/",$B41)-1),RIGHT($B41,LEN($B41)-FIND("/",$B41))))))</f>
        <v>0</v>
      </c>
      <c r="AN41" s="72">
        <f t="shared" ref="AN41:AN42" si="57">_xlfn.NUMBERVALUE(IF(J41=0,0,IF(J41=1,LEFT($B41,FIND("/",$B41)-1),SUM(LEFT($B41,FIND("/",$B41)-1),RIGHT($B41,LEN($B41)-FIND("/",$B41))))))</f>
        <v>0</v>
      </c>
      <c r="AO41" s="72">
        <f t="shared" ref="AO41:AO42" si="58">_xlfn.NUMBERVALUE(IF(K41=0,0,IF(K41=1,LEFT($B41,FIND("/",$B41)-1),SUM(LEFT($B41,FIND("/",$B41)-1),RIGHT($B41,LEN($B41)-FIND("/",$B41))))))</f>
        <v>0</v>
      </c>
      <c r="AP41" s="72">
        <f t="shared" ref="AP41:AP42" si="59">_xlfn.NUMBERVALUE(IF(L41=0,0,IF(L41=1,LEFT($B41,FIND("/",$B41)-1),SUM(LEFT($B41,FIND("/",$B41)-1),RIGHT($B41,LEN($B41)-FIND("/",$B41))))))</f>
        <v>0</v>
      </c>
      <c r="AQ41" s="72">
        <f t="shared" ref="AQ41:AQ42" si="60">_xlfn.NUMBERVALUE(IF(M41=0,0,IF(M41=1,LEFT($B41,FIND("/",$B41)-1),SUM(LEFT($B41,FIND("/",$B41)-1),RIGHT($B41,LEN($B41)-FIND("/",$B41))))))</f>
        <v>0</v>
      </c>
      <c r="AR41" s="72">
        <f t="shared" ref="AR41:AR42" si="61">_xlfn.NUMBERVALUE(IF(N41=0,0,IF(N41=1,LEFT($B41,FIND("/",$B41)-1),SUM(LEFT($B41,FIND("/",$B41)-1),RIGHT($B41,LEN($B41)-FIND("/",$B41))))))</f>
        <v>0</v>
      </c>
      <c r="AS41" s="72">
        <f t="shared" ref="AS41:AS42" si="62">_xlfn.NUMBERVALUE(IF(O41=0,0,IF(O41=1,LEFT($B41,FIND("/",$B41)-1),SUM(LEFT($B41,FIND("/",$B41)-1),RIGHT($B41,LEN($B41)-FIND("/",$B41))))))</f>
        <v>0</v>
      </c>
      <c r="AT41" s="72">
        <f t="shared" ref="AT41:AT42" si="63">_xlfn.NUMBERVALUE(IF(P41=0,0,IF(P41=1,LEFT($B41,FIND("/",$B41)-1),SUM(LEFT($B41,FIND("/",$B41)-1),RIGHT($B41,LEN($B41)-FIND("/",$B41))))))</f>
        <v>0</v>
      </c>
      <c r="AU41" s="72">
        <f t="shared" ref="AU41:AU42" si="64">_xlfn.NUMBERVALUE(IF(Q41=0,0,IF(Q41=1,LEFT($B41,FIND("/",$B41)-1),SUM(LEFT($B41,FIND("/",$B41)-1),RIGHT($B41,LEN($B41)-FIND("/",$B41))))))</f>
        <v>0</v>
      </c>
      <c r="AV41" s="72">
        <f t="shared" ref="AV41:AV42" si="65">_xlfn.NUMBERVALUE(IF(R41=0,0,IF(R41=1,LEFT($B41,FIND("/",$B41)-1),SUM(LEFT($B41,FIND("/",$B41)-1),RIGHT($B41,LEN($B41)-FIND("/",$B41))))))</f>
        <v>0</v>
      </c>
      <c r="AW41" s="72">
        <f t="shared" ref="AW41:AW42" si="66">_xlfn.NUMBERVALUE(IF(S41=0,0,IF(S41=1,LEFT($B41,FIND("/",$B41)-1),SUM(LEFT($B41,FIND("/",$B41)-1),RIGHT($B41,LEN($B41)-FIND("/",$B41))))))</f>
        <v>0</v>
      </c>
      <c r="AX41" s="72">
        <f t="shared" ref="AX41:AX42" si="67">_xlfn.NUMBERVALUE(IF(T41=0,0,IF(T41=1,LEFT($B41,FIND("/",$B41)-1),SUM(LEFT($B41,FIND("/",$B41)-1),RIGHT($B41,LEN($B41)-FIND("/",$B41))))))</f>
        <v>0</v>
      </c>
      <c r="AY41" s="72">
        <f t="shared" ref="AY41:AY42" si="68">_xlfn.NUMBERVALUE(IF(U41=0,0,IF(U41=1,LEFT($B41,FIND("/",$B41)-1),SUM(LEFT($B41,FIND("/",$B41)-1),RIGHT($B41,LEN($B41)-FIND("/",$B41))))))</f>
        <v>0</v>
      </c>
      <c r="AZ41" s="72">
        <f t="shared" ref="AZ41:AZ42" si="69">_xlfn.NUMBERVALUE(IF(V41=0,0,IF(V41=1,LEFT($B41,FIND("/",$B41)-1),SUM(LEFT($B41,FIND("/",$B41)-1),RIGHT($B41,LEN($B41)-FIND("/",$B41))))))</f>
        <v>0</v>
      </c>
      <c r="BA41" s="72">
        <f t="shared" ref="BA41:BA42" si="70">_xlfn.NUMBERVALUE(IF(W41=0,0,IF(W41=1,LEFT($B41,FIND("/",$B41)-1),SUM(LEFT($B41,FIND("/",$B41)-1),RIGHT($B41,LEN($B41)-FIND("/",$B41))))))</f>
        <v>0</v>
      </c>
      <c r="BB41" s="72">
        <f t="shared" ref="BB41:BB42" si="71">_xlfn.NUMBERVALUE(IF(X41=0,0,IF(X41=1,LEFT($B41,FIND("/",$B41)-1),SUM(LEFT($B41,FIND("/",$B41)-1),RIGHT($B41,LEN($B41)-FIND("/",$B41))))))</f>
        <v>0</v>
      </c>
      <c r="BC41" s="72">
        <f t="shared" ref="BC41:BC42" si="72">_xlfn.NUMBERVALUE(IF(Y41=0,0,IF(Y41=1,LEFT($B41,FIND("/",$B41)-1),SUM(LEFT($B41,FIND("/",$B41)-1),RIGHT($B41,LEN($B41)-FIND("/",$B41))))))</f>
        <v>0</v>
      </c>
      <c r="BD41" s="72">
        <f t="shared" ref="BD41:BD42" si="73">_xlfn.NUMBERVALUE(IF(Z41=0,0,IF(Z41=1,LEFT($B41,FIND("/",$B41)-1),SUM(LEFT($B41,FIND("/",$B41)-1),RIGHT($B41,LEN($B41)-FIND("/",$B41))))))</f>
        <v>0</v>
      </c>
      <c r="BE41" s="72">
        <f t="shared" ref="BE41:BE42" si="74">_xlfn.NUMBERVALUE(IF(AA41=0,0,IF(AA41=1,LEFT($B41,FIND("/",$B41)-1),SUM(LEFT($B41,FIND("/",$B41)-1),RIGHT($B41,LEN($B41)-FIND("/",$B41))))))</f>
        <v>0</v>
      </c>
      <c r="BF41" s="72">
        <f t="shared" ref="BF41:BF42" si="75">_xlfn.NUMBERVALUE(IF(AB41=0,0,IF(AB41=1,LEFT($B41,FIND("/",$B41)-1),SUM(LEFT($B41,FIND("/",$B41)-1),RIGHT($B41,LEN($B41)-FIND("/",$B41))))))</f>
        <v>0</v>
      </c>
    </row>
    <row r="42" spans="1:58" x14ac:dyDescent="0.25">
      <c r="A42" s="34" t="s">
        <v>130</v>
      </c>
      <c r="B42" s="1" t="e">
        <f>Cost_Ranged</f>
        <v>#N/A</v>
      </c>
      <c r="C42" s="1"/>
      <c r="D42" s="1"/>
      <c r="E42" t="s">
        <v>318</v>
      </c>
      <c r="F42" s="77" t="s">
        <v>473</v>
      </c>
      <c r="G42" s="1" t="s">
        <v>135</v>
      </c>
      <c r="H42" s="1">
        <f>Worksheet!P50</f>
        <v>0</v>
      </c>
      <c r="AC42" s="1">
        <f>SUM(I42:INDEX(I42:AB42,Level))+H42</f>
        <v>0</v>
      </c>
      <c r="AD42" s="45">
        <f t="shared" si="53"/>
        <v>-25</v>
      </c>
      <c r="AE42" s="45" cm="1">
        <f t="array" aca="1" ref="AE42" ca="1">IF(G42="NA",0,INDIRECT(LEFT(G42,2))+INDIRECT(MID(G42,4,2))+INDIRECT(RIGHT(G42,2)))</f>
        <v>8</v>
      </c>
      <c r="AF42" s="45">
        <f t="shared" si="54"/>
        <v>0</v>
      </c>
      <c r="AG42" s="45">
        <f t="shared" si="55"/>
        <v>0</v>
      </c>
      <c r="AH42" s="45">
        <f>Front!$M$30</f>
        <v>0</v>
      </c>
      <c r="AI42" s="51">
        <f t="shared" ca="1" si="28"/>
        <v>-17</v>
      </c>
      <c r="AM42" s="72">
        <f t="shared" si="56"/>
        <v>0</v>
      </c>
      <c r="AN42" s="72">
        <f t="shared" si="57"/>
        <v>0</v>
      </c>
      <c r="AO42" s="72">
        <f t="shared" si="58"/>
        <v>0</v>
      </c>
      <c r="AP42" s="72">
        <f t="shared" si="59"/>
        <v>0</v>
      </c>
      <c r="AQ42" s="72">
        <f t="shared" si="60"/>
        <v>0</v>
      </c>
      <c r="AR42" s="72">
        <f t="shared" si="61"/>
        <v>0</v>
      </c>
      <c r="AS42" s="72">
        <f t="shared" si="62"/>
        <v>0</v>
      </c>
      <c r="AT42" s="72">
        <f t="shared" si="63"/>
        <v>0</v>
      </c>
      <c r="AU42" s="72">
        <f t="shared" si="64"/>
        <v>0</v>
      </c>
      <c r="AV42" s="72">
        <f t="shared" si="65"/>
        <v>0</v>
      </c>
      <c r="AW42" s="72">
        <f t="shared" si="66"/>
        <v>0</v>
      </c>
      <c r="AX42" s="72">
        <f t="shared" si="67"/>
        <v>0</v>
      </c>
      <c r="AY42" s="72">
        <f t="shared" si="68"/>
        <v>0</v>
      </c>
      <c r="AZ42" s="72">
        <f t="shared" si="69"/>
        <v>0</v>
      </c>
      <c r="BA42" s="72">
        <f t="shared" si="70"/>
        <v>0</v>
      </c>
      <c r="BB42" s="72">
        <f t="shared" si="71"/>
        <v>0</v>
      </c>
      <c r="BC42" s="72">
        <f t="shared" si="72"/>
        <v>0</v>
      </c>
      <c r="BD42" s="72">
        <f t="shared" si="73"/>
        <v>0</v>
      </c>
      <c r="BE42" s="72">
        <f t="shared" si="74"/>
        <v>0</v>
      </c>
      <c r="BF42" s="72">
        <f t="shared" si="75"/>
        <v>0</v>
      </c>
    </row>
    <row r="43" spans="1:58" x14ac:dyDescent="0.25">
      <c r="A43" s="34" t="s">
        <v>130</v>
      </c>
      <c r="B43" s="1" t="e">
        <f>Cost_Ranged</f>
        <v>#N/A</v>
      </c>
      <c r="C43" s="1"/>
      <c r="D43" s="1"/>
      <c r="E43" t="s">
        <v>318</v>
      </c>
      <c r="F43" s="77" t="s">
        <v>474</v>
      </c>
      <c r="G43" s="1" t="s">
        <v>135</v>
      </c>
      <c r="H43" s="1">
        <f>Worksheet!P51</f>
        <v>0</v>
      </c>
      <c r="AC43" s="1">
        <f>SUM(I43:INDEX(I43:AB43,Level))+H43</f>
        <v>0</v>
      </c>
      <c r="AD43" s="45">
        <f t="shared" si="5"/>
        <v>-25</v>
      </c>
      <c r="AE43" s="45" cm="1">
        <f t="array" aca="1" ref="AE43" ca="1">IF(G43="NA",0,INDIRECT(LEFT(G43,2))+INDIRECT(MID(G43,4,2))+INDIRECT(RIGHT(G43,2)))</f>
        <v>8</v>
      </c>
      <c r="AF43" s="45">
        <f t="shared" si="26"/>
        <v>0</v>
      </c>
      <c r="AG43" s="45">
        <f t="shared" si="27"/>
        <v>0</v>
      </c>
      <c r="AH43" s="45">
        <f>Front!$M$30</f>
        <v>0</v>
      </c>
      <c r="AI43" s="51">
        <f t="shared" ca="1" si="28"/>
        <v>-17</v>
      </c>
      <c r="AM43" s="72">
        <f t="shared" si="6"/>
        <v>0</v>
      </c>
      <c r="AN43" s="72">
        <f t="shared" si="7"/>
        <v>0</v>
      </c>
      <c r="AO43" s="72">
        <f t="shared" si="8"/>
        <v>0</v>
      </c>
      <c r="AP43" s="72">
        <f t="shared" si="9"/>
        <v>0</v>
      </c>
      <c r="AQ43" s="72">
        <f t="shared" si="10"/>
        <v>0</v>
      </c>
      <c r="AR43" s="72">
        <f t="shared" si="11"/>
        <v>0</v>
      </c>
      <c r="AS43" s="72">
        <f t="shared" si="12"/>
        <v>0</v>
      </c>
      <c r="AT43" s="72">
        <f t="shared" si="13"/>
        <v>0</v>
      </c>
      <c r="AU43" s="72">
        <f t="shared" si="14"/>
        <v>0</v>
      </c>
      <c r="AV43" s="72">
        <f t="shared" si="15"/>
        <v>0</v>
      </c>
      <c r="AW43" s="72">
        <f t="shared" si="16"/>
        <v>0</v>
      </c>
      <c r="AX43" s="72">
        <f t="shared" si="17"/>
        <v>0</v>
      </c>
      <c r="AY43" s="72">
        <f t="shared" si="18"/>
        <v>0</v>
      </c>
      <c r="AZ43" s="72">
        <f t="shared" si="19"/>
        <v>0</v>
      </c>
      <c r="BA43" s="72">
        <f t="shared" si="20"/>
        <v>0</v>
      </c>
      <c r="BB43" s="72">
        <f t="shared" si="21"/>
        <v>0</v>
      </c>
      <c r="BC43" s="72">
        <f t="shared" si="22"/>
        <v>0</v>
      </c>
      <c r="BD43" s="72">
        <f t="shared" si="23"/>
        <v>0</v>
      </c>
      <c r="BE43" s="72">
        <f t="shared" si="24"/>
        <v>0</v>
      </c>
      <c r="BF43" s="72">
        <f t="shared" si="25"/>
        <v>0</v>
      </c>
    </row>
    <row r="44" spans="1:58" x14ac:dyDescent="0.25">
      <c r="A44" s="34" t="s">
        <v>130</v>
      </c>
      <c r="B44" s="1" t="e">
        <f>Cost_Ranged</f>
        <v>#N/A</v>
      </c>
      <c r="C44" s="1"/>
      <c r="D44" s="1"/>
      <c r="E44" t="s">
        <v>318</v>
      </c>
      <c r="F44" s="77" t="s">
        <v>470</v>
      </c>
      <c r="G44" s="1" t="s">
        <v>135</v>
      </c>
      <c r="H44" s="1">
        <f>Worksheet!P52</f>
        <v>0</v>
      </c>
      <c r="AC44" s="1">
        <f>SUM(I44:INDEX(I44:AB44,Level))+H44</f>
        <v>0</v>
      </c>
      <c r="AD44" s="45">
        <f t="shared" si="5"/>
        <v>-25</v>
      </c>
      <c r="AE44" s="45" cm="1">
        <f t="array" aca="1" ref="AE44" ca="1">IF(G44="NA",0,INDIRECT(LEFT(G44,2))+INDIRECT(MID(G44,4,2))+INDIRECT(RIGHT(G44,2)))</f>
        <v>8</v>
      </c>
      <c r="AF44" s="45">
        <f t="shared" si="26"/>
        <v>0</v>
      </c>
      <c r="AG44" s="45">
        <f t="shared" si="27"/>
        <v>0</v>
      </c>
      <c r="AH44" s="45">
        <f>Front!$M$30</f>
        <v>0</v>
      </c>
      <c r="AI44" s="51">
        <f t="shared" ca="1" si="28"/>
        <v>-17</v>
      </c>
      <c r="AM44" s="72">
        <f t="shared" si="6"/>
        <v>0</v>
      </c>
      <c r="AN44" s="72">
        <f t="shared" si="7"/>
        <v>0</v>
      </c>
      <c r="AO44" s="72">
        <f t="shared" si="8"/>
        <v>0</v>
      </c>
      <c r="AP44" s="72">
        <f t="shared" si="9"/>
        <v>0</v>
      </c>
      <c r="AQ44" s="72">
        <f t="shared" si="10"/>
        <v>0</v>
      </c>
      <c r="AR44" s="72">
        <f t="shared" si="11"/>
        <v>0</v>
      </c>
      <c r="AS44" s="72">
        <f t="shared" si="12"/>
        <v>0</v>
      </c>
      <c r="AT44" s="72">
        <f t="shared" si="13"/>
        <v>0</v>
      </c>
      <c r="AU44" s="72">
        <f t="shared" si="14"/>
        <v>0</v>
      </c>
      <c r="AV44" s="72">
        <f t="shared" si="15"/>
        <v>0</v>
      </c>
      <c r="AW44" s="72">
        <f t="shared" si="16"/>
        <v>0</v>
      </c>
      <c r="AX44" s="72">
        <f t="shared" si="17"/>
        <v>0</v>
      </c>
      <c r="AY44" s="72">
        <f t="shared" si="18"/>
        <v>0</v>
      </c>
      <c r="AZ44" s="72">
        <f t="shared" si="19"/>
        <v>0</v>
      </c>
      <c r="BA44" s="72">
        <f t="shared" si="20"/>
        <v>0</v>
      </c>
      <c r="BB44" s="72">
        <f t="shared" si="21"/>
        <v>0</v>
      </c>
      <c r="BC44" s="72">
        <f t="shared" si="22"/>
        <v>0</v>
      </c>
      <c r="BD44" s="72">
        <f t="shared" si="23"/>
        <v>0</v>
      </c>
      <c r="BE44" s="72">
        <f t="shared" si="24"/>
        <v>0</v>
      </c>
      <c r="BF44" s="72">
        <f t="shared" si="25"/>
        <v>0</v>
      </c>
    </row>
    <row r="45" spans="1:58" x14ac:dyDescent="0.25">
      <c r="A45" s="34" t="s">
        <v>130</v>
      </c>
      <c r="B45" s="1" t="e">
        <f>Cost_Shield</f>
        <v>#N/A</v>
      </c>
      <c r="C45" s="1"/>
      <c r="D45" s="1"/>
      <c r="E45" t="s">
        <v>63</v>
      </c>
      <c r="F45" s="79"/>
      <c r="G45" s="1" t="s">
        <v>134</v>
      </c>
      <c r="H45" s="76"/>
      <c r="AC45" s="1">
        <f>SUM(I45:INDEX(I45:AB45,Level))+H45</f>
        <v>0</v>
      </c>
      <c r="AD45" s="45">
        <f t="shared" ref="AD45:AD76" si="76">IF(AC45&gt;30,100+AC45,VLOOKUP(AC45,Rank_Bonus,2,FALSE))</f>
        <v>-25</v>
      </c>
      <c r="AE45" s="45" cm="1">
        <f t="array" aca="1" ref="AE45" ca="1">IF(G45="NA",0,INDIRECT(LEFT(G45,2))+INDIRECT(MID(G45,4,2))+INDIRECT(RIGHT(G45,2)))</f>
        <v>16</v>
      </c>
      <c r="AF45" s="45">
        <f t="shared" si="26"/>
        <v>0</v>
      </c>
      <c r="AG45" s="45">
        <f t="shared" si="27"/>
        <v>0</v>
      </c>
      <c r="AH45" s="45"/>
      <c r="AI45" s="51">
        <f t="shared" ca="1" si="28"/>
        <v>-9</v>
      </c>
      <c r="AM45" s="72">
        <f t="shared" ref="AM45:AM76" si="77">_xlfn.NUMBERVALUE(IF(I45=0,0,IF(I45=1,LEFT($B45,FIND("/",$B45)-1),SUM(LEFT($B45,FIND("/",$B45)-1),RIGHT($B45,LEN($B45)-FIND("/",$B45))))))</f>
        <v>0</v>
      </c>
      <c r="AN45" s="72">
        <f t="shared" ref="AN45:AN76" si="78">_xlfn.NUMBERVALUE(IF(J45=0,0,IF(J45=1,LEFT($B45,FIND("/",$B45)-1),SUM(LEFT($B45,FIND("/",$B45)-1),RIGHT($B45,LEN($B45)-FIND("/",$B45))))))</f>
        <v>0</v>
      </c>
      <c r="AO45" s="72">
        <f t="shared" ref="AO45:AO76" si="79">_xlfn.NUMBERVALUE(IF(K45=0,0,IF(K45=1,LEFT($B45,FIND("/",$B45)-1),SUM(LEFT($B45,FIND("/",$B45)-1),RIGHT($B45,LEN($B45)-FIND("/",$B45))))))</f>
        <v>0</v>
      </c>
      <c r="AP45" s="72">
        <f t="shared" ref="AP45:AP76" si="80">_xlfn.NUMBERVALUE(IF(L45=0,0,IF(L45=1,LEFT($B45,FIND("/",$B45)-1),SUM(LEFT($B45,FIND("/",$B45)-1),RIGHT($B45,LEN($B45)-FIND("/",$B45))))))</f>
        <v>0</v>
      </c>
      <c r="AQ45" s="72">
        <f t="shared" ref="AQ45:AQ76" si="81">_xlfn.NUMBERVALUE(IF(M45=0,0,IF(M45=1,LEFT($B45,FIND("/",$B45)-1),SUM(LEFT($B45,FIND("/",$B45)-1),RIGHT($B45,LEN($B45)-FIND("/",$B45))))))</f>
        <v>0</v>
      </c>
      <c r="AR45" s="72">
        <f t="shared" ref="AR45:AR76" si="82">_xlfn.NUMBERVALUE(IF(N45=0,0,IF(N45=1,LEFT($B45,FIND("/",$B45)-1),SUM(LEFT($B45,FIND("/",$B45)-1),RIGHT($B45,LEN($B45)-FIND("/",$B45))))))</f>
        <v>0</v>
      </c>
      <c r="AS45" s="72">
        <f t="shared" ref="AS45:AS76" si="83">_xlfn.NUMBERVALUE(IF(O45=0,0,IF(O45=1,LEFT($B45,FIND("/",$B45)-1),SUM(LEFT($B45,FIND("/",$B45)-1),RIGHT($B45,LEN($B45)-FIND("/",$B45))))))</f>
        <v>0</v>
      </c>
      <c r="AT45" s="72">
        <f t="shared" ref="AT45:AT76" si="84">_xlfn.NUMBERVALUE(IF(P45=0,0,IF(P45=1,LEFT($B45,FIND("/",$B45)-1),SUM(LEFT($B45,FIND("/",$B45)-1),RIGHT($B45,LEN($B45)-FIND("/",$B45))))))</f>
        <v>0</v>
      </c>
      <c r="AU45" s="72">
        <f t="shared" ref="AU45:AU76" si="85">_xlfn.NUMBERVALUE(IF(Q45=0,0,IF(Q45=1,LEFT($B45,FIND("/",$B45)-1),SUM(LEFT($B45,FIND("/",$B45)-1),RIGHT($B45,LEN($B45)-FIND("/",$B45))))))</f>
        <v>0</v>
      </c>
      <c r="AV45" s="72">
        <f t="shared" ref="AV45:AV76" si="86">_xlfn.NUMBERVALUE(IF(R45=0,0,IF(R45=1,LEFT($B45,FIND("/",$B45)-1),SUM(LEFT($B45,FIND("/",$B45)-1),RIGHT($B45,LEN($B45)-FIND("/",$B45))))))</f>
        <v>0</v>
      </c>
      <c r="AW45" s="72">
        <f t="shared" ref="AW45:AW76" si="87">_xlfn.NUMBERVALUE(IF(S45=0,0,IF(S45=1,LEFT($B45,FIND("/",$B45)-1),SUM(LEFT($B45,FIND("/",$B45)-1),RIGHT($B45,LEN($B45)-FIND("/",$B45))))))</f>
        <v>0</v>
      </c>
      <c r="AX45" s="72">
        <f t="shared" ref="AX45:AX76" si="88">_xlfn.NUMBERVALUE(IF(T45=0,0,IF(T45=1,LEFT($B45,FIND("/",$B45)-1),SUM(LEFT($B45,FIND("/",$B45)-1),RIGHT($B45,LEN($B45)-FIND("/",$B45))))))</f>
        <v>0</v>
      </c>
      <c r="AY45" s="72">
        <f t="shared" ref="AY45:AY76" si="89">_xlfn.NUMBERVALUE(IF(U45=0,0,IF(U45=1,LEFT($B45,FIND("/",$B45)-1),SUM(LEFT($B45,FIND("/",$B45)-1),RIGHT($B45,LEN($B45)-FIND("/",$B45))))))</f>
        <v>0</v>
      </c>
      <c r="AZ45" s="72">
        <f t="shared" ref="AZ45:AZ76" si="90">_xlfn.NUMBERVALUE(IF(V45=0,0,IF(V45=1,LEFT($B45,FIND("/",$B45)-1),SUM(LEFT($B45,FIND("/",$B45)-1),RIGHT($B45,LEN($B45)-FIND("/",$B45))))))</f>
        <v>0</v>
      </c>
      <c r="BA45" s="72">
        <f t="shared" ref="BA45:BA76" si="91">_xlfn.NUMBERVALUE(IF(W45=0,0,IF(W45=1,LEFT($B45,FIND("/",$B45)-1),SUM(LEFT($B45,FIND("/",$B45)-1),RIGHT($B45,LEN($B45)-FIND("/",$B45))))))</f>
        <v>0</v>
      </c>
      <c r="BB45" s="72">
        <f t="shared" ref="BB45:BB76" si="92">_xlfn.NUMBERVALUE(IF(X45=0,0,IF(X45=1,LEFT($B45,FIND("/",$B45)-1),SUM(LEFT($B45,FIND("/",$B45)-1),RIGHT($B45,LEN($B45)-FIND("/",$B45))))))</f>
        <v>0</v>
      </c>
      <c r="BC45" s="72">
        <f t="shared" ref="BC45:BC76" si="93">_xlfn.NUMBERVALUE(IF(Y45=0,0,IF(Y45=1,LEFT($B45,FIND("/",$B45)-1),SUM(LEFT($B45,FIND("/",$B45)-1),RIGHT($B45,LEN($B45)-FIND("/",$B45))))))</f>
        <v>0</v>
      </c>
      <c r="BD45" s="72">
        <f t="shared" ref="BD45:BD76" si="94">_xlfn.NUMBERVALUE(IF(Z45=0,0,IF(Z45=1,LEFT($B45,FIND("/",$B45)-1),SUM(LEFT($B45,FIND("/",$B45)-1),RIGHT($B45,LEN($B45)-FIND("/",$B45))))))</f>
        <v>0</v>
      </c>
      <c r="BE45" s="72">
        <f t="shared" ref="BE45:BE76" si="95">_xlfn.NUMBERVALUE(IF(AA45=0,0,IF(AA45=1,LEFT($B45,FIND("/",$B45)-1),SUM(LEFT($B45,FIND("/",$B45)-1),RIGHT($B45,LEN($B45)-FIND("/",$B45))))))</f>
        <v>0</v>
      </c>
      <c r="BF45" s="72">
        <f t="shared" ref="BF45:BF76" si="96">_xlfn.NUMBERVALUE(IF(AB45=0,0,IF(AB45=1,LEFT($B45,FIND("/",$B45)-1),SUM(LEFT($B45,FIND("/",$B45)-1),RIGHT($B45,LEN($B45)-FIND("/",$B45))))))</f>
        <v>0</v>
      </c>
    </row>
    <row r="46" spans="1:58" x14ac:dyDescent="0.25">
      <c r="A46" s="34" t="s">
        <v>136</v>
      </c>
      <c r="B46" s="1" t="e">
        <f t="shared" ref="B46:B74" si="97">VLOOKUP(A46,Table_Profession_Skills,VLOOKUP(Profession,Table_Profession,2,FALSE)+1,FALSE)</f>
        <v>#N/A</v>
      </c>
      <c r="C46" s="1"/>
      <c r="D46" s="1"/>
      <c r="E46" t="s">
        <v>137</v>
      </c>
      <c r="F46" s="79"/>
      <c r="G46" s="1" t="s">
        <v>140</v>
      </c>
      <c r="H46" s="1">
        <f>Worksheet!P71</f>
        <v>0</v>
      </c>
      <c r="AC46" s="1">
        <f>SUM(I46:INDEX(I46:AB46,Level))+H46</f>
        <v>0</v>
      </c>
      <c r="AD46" s="45">
        <f t="shared" si="76"/>
        <v>-25</v>
      </c>
      <c r="AE46" s="45" cm="1">
        <f t="array" aca="1" ref="AE46" ca="1">IF(G46="NA",0,INDIRECT(LEFT(G46,2))+INDIRECT(MID(G46,4,2))+INDIRECT(RIGHT(G46,2)))</f>
        <v>0</v>
      </c>
      <c r="AF46" s="45">
        <f t="shared" si="26"/>
        <v>0</v>
      </c>
      <c r="AG46" s="45">
        <f t="shared" si="27"/>
        <v>0</v>
      </c>
      <c r="AH46" s="45"/>
      <c r="AI46" s="51">
        <f t="shared" ca="1" si="28"/>
        <v>-25</v>
      </c>
      <c r="AM46" s="72">
        <f t="shared" si="77"/>
        <v>0</v>
      </c>
      <c r="AN46" s="72">
        <f t="shared" si="78"/>
        <v>0</v>
      </c>
      <c r="AO46" s="72">
        <f t="shared" si="79"/>
        <v>0</v>
      </c>
      <c r="AP46" s="72">
        <f t="shared" si="80"/>
        <v>0</v>
      </c>
      <c r="AQ46" s="72">
        <f t="shared" si="81"/>
        <v>0</v>
      </c>
      <c r="AR46" s="72">
        <f t="shared" si="82"/>
        <v>0</v>
      </c>
      <c r="AS46" s="72">
        <f t="shared" si="83"/>
        <v>0</v>
      </c>
      <c r="AT46" s="72">
        <f t="shared" si="84"/>
        <v>0</v>
      </c>
      <c r="AU46" s="72">
        <f t="shared" si="85"/>
        <v>0</v>
      </c>
      <c r="AV46" s="72">
        <f t="shared" si="86"/>
        <v>0</v>
      </c>
      <c r="AW46" s="72">
        <f t="shared" si="87"/>
        <v>0</v>
      </c>
      <c r="AX46" s="72">
        <f t="shared" si="88"/>
        <v>0</v>
      </c>
      <c r="AY46" s="72">
        <f t="shared" si="89"/>
        <v>0</v>
      </c>
      <c r="AZ46" s="72">
        <f t="shared" si="90"/>
        <v>0</v>
      </c>
      <c r="BA46" s="72">
        <f t="shared" si="91"/>
        <v>0</v>
      </c>
      <c r="BB46" s="72">
        <f t="shared" si="92"/>
        <v>0</v>
      </c>
      <c r="BC46" s="72">
        <f t="shared" si="93"/>
        <v>0</v>
      </c>
      <c r="BD46" s="72">
        <f t="shared" si="94"/>
        <v>0</v>
      </c>
      <c r="BE46" s="72">
        <f t="shared" si="95"/>
        <v>0</v>
      </c>
      <c r="BF46" s="72">
        <f t="shared" si="96"/>
        <v>0</v>
      </c>
    </row>
    <row r="47" spans="1:58" x14ac:dyDescent="0.25">
      <c r="A47" s="34" t="s">
        <v>136</v>
      </c>
      <c r="B47" s="1" t="e">
        <f t="shared" si="97"/>
        <v>#N/A</v>
      </c>
      <c r="C47" s="1"/>
      <c r="D47" s="1"/>
      <c r="E47" t="s">
        <v>138</v>
      </c>
      <c r="F47" s="79"/>
      <c r="G47" s="1" t="s">
        <v>140</v>
      </c>
      <c r="H47" s="1">
        <f>Worksheet!P72</f>
        <v>0</v>
      </c>
      <c r="AC47" s="1">
        <f>SUM(I47:INDEX(I47:AB47,Level))+H47</f>
        <v>0</v>
      </c>
      <c r="AD47" s="45">
        <f t="shared" si="76"/>
        <v>-25</v>
      </c>
      <c r="AE47" s="45" cm="1">
        <f t="array" aca="1" ref="AE47" ca="1">IF(G47="NA",0,INDIRECT(LEFT(G47,2))+INDIRECT(MID(G47,4,2))+INDIRECT(RIGHT(G47,2)))</f>
        <v>0</v>
      </c>
      <c r="AF47" s="45">
        <f t="shared" si="26"/>
        <v>0</v>
      </c>
      <c r="AG47" s="45">
        <f t="shared" si="27"/>
        <v>0</v>
      </c>
      <c r="AH47" s="45"/>
      <c r="AI47" s="51">
        <f t="shared" ca="1" si="28"/>
        <v>-25</v>
      </c>
      <c r="AM47" s="72">
        <f t="shared" si="77"/>
        <v>0</v>
      </c>
      <c r="AN47" s="72">
        <f t="shared" si="78"/>
        <v>0</v>
      </c>
      <c r="AO47" s="72">
        <f t="shared" si="79"/>
        <v>0</v>
      </c>
      <c r="AP47" s="72">
        <f t="shared" si="80"/>
        <v>0</v>
      </c>
      <c r="AQ47" s="72">
        <f t="shared" si="81"/>
        <v>0</v>
      </c>
      <c r="AR47" s="72">
        <f t="shared" si="82"/>
        <v>0</v>
      </c>
      <c r="AS47" s="72">
        <f t="shared" si="83"/>
        <v>0</v>
      </c>
      <c r="AT47" s="72">
        <f t="shared" si="84"/>
        <v>0</v>
      </c>
      <c r="AU47" s="72">
        <f t="shared" si="85"/>
        <v>0</v>
      </c>
      <c r="AV47" s="72">
        <f t="shared" si="86"/>
        <v>0</v>
      </c>
      <c r="AW47" s="72">
        <f t="shared" si="87"/>
        <v>0</v>
      </c>
      <c r="AX47" s="72">
        <f t="shared" si="88"/>
        <v>0</v>
      </c>
      <c r="AY47" s="72">
        <f t="shared" si="89"/>
        <v>0</v>
      </c>
      <c r="AZ47" s="72">
        <f t="shared" si="90"/>
        <v>0</v>
      </c>
      <c r="BA47" s="72">
        <f t="shared" si="91"/>
        <v>0</v>
      </c>
      <c r="BB47" s="72">
        <f t="shared" si="92"/>
        <v>0</v>
      </c>
      <c r="BC47" s="72">
        <f t="shared" si="93"/>
        <v>0</v>
      </c>
      <c r="BD47" s="72">
        <f t="shared" si="94"/>
        <v>0</v>
      </c>
      <c r="BE47" s="72">
        <f t="shared" si="95"/>
        <v>0</v>
      </c>
      <c r="BF47" s="72">
        <f t="shared" si="96"/>
        <v>0</v>
      </c>
    </row>
    <row r="48" spans="1:58" x14ac:dyDescent="0.25">
      <c r="A48" s="34" t="s">
        <v>136</v>
      </c>
      <c r="B48" s="1" t="e">
        <f t="shared" si="97"/>
        <v>#N/A</v>
      </c>
      <c r="C48" s="1"/>
      <c r="D48" s="1"/>
      <c r="E48" t="s">
        <v>139</v>
      </c>
      <c r="F48" s="79"/>
      <c r="G48" s="1" t="s">
        <v>141</v>
      </c>
      <c r="H48" s="1">
        <f>Worksheet!P73</f>
        <v>0</v>
      </c>
      <c r="AC48" s="1">
        <f>SUM(I48:INDEX(I48:AB48,Level))+H48</f>
        <v>0</v>
      </c>
      <c r="AD48" s="45">
        <f t="shared" si="76"/>
        <v>-25</v>
      </c>
      <c r="AE48" s="45" cm="1">
        <f t="array" aca="1" ref="AE48" ca="1">IF(G48="NA",0,INDIRECT(LEFT(G48,2))+INDIRECT(MID(G48,4,2))+INDIRECT(RIGHT(G48,2)))</f>
        <v>0</v>
      </c>
      <c r="AF48" s="45">
        <f t="shared" si="26"/>
        <v>0</v>
      </c>
      <c r="AG48" s="45">
        <f t="shared" si="27"/>
        <v>0</v>
      </c>
      <c r="AH48" s="45"/>
      <c r="AI48" s="51">
        <f t="shared" ca="1" si="28"/>
        <v>-25</v>
      </c>
      <c r="AM48" s="72">
        <f t="shared" si="77"/>
        <v>0</v>
      </c>
      <c r="AN48" s="72">
        <f t="shared" si="78"/>
        <v>0</v>
      </c>
      <c r="AO48" s="72">
        <f t="shared" si="79"/>
        <v>0</v>
      </c>
      <c r="AP48" s="72">
        <f t="shared" si="80"/>
        <v>0</v>
      </c>
      <c r="AQ48" s="72">
        <f t="shared" si="81"/>
        <v>0</v>
      </c>
      <c r="AR48" s="72">
        <f t="shared" si="82"/>
        <v>0</v>
      </c>
      <c r="AS48" s="72">
        <f t="shared" si="83"/>
        <v>0</v>
      </c>
      <c r="AT48" s="72">
        <f t="shared" si="84"/>
        <v>0</v>
      </c>
      <c r="AU48" s="72">
        <f t="shared" si="85"/>
        <v>0</v>
      </c>
      <c r="AV48" s="72">
        <f t="shared" si="86"/>
        <v>0</v>
      </c>
      <c r="AW48" s="72">
        <f t="shared" si="87"/>
        <v>0</v>
      </c>
      <c r="AX48" s="72">
        <f t="shared" si="88"/>
        <v>0</v>
      </c>
      <c r="AY48" s="72">
        <f t="shared" si="89"/>
        <v>0</v>
      </c>
      <c r="AZ48" s="72">
        <f t="shared" si="90"/>
        <v>0</v>
      </c>
      <c r="BA48" s="72">
        <f t="shared" si="91"/>
        <v>0</v>
      </c>
      <c r="BB48" s="72">
        <f t="shared" si="92"/>
        <v>0</v>
      </c>
      <c r="BC48" s="72">
        <f t="shared" si="93"/>
        <v>0</v>
      </c>
      <c r="BD48" s="72">
        <f t="shared" si="94"/>
        <v>0</v>
      </c>
      <c r="BE48" s="72">
        <f t="shared" si="95"/>
        <v>0</v>
      </c>
      <c r="BF48" s="72">
        <f t="shared" si="96"/>
        <v>0</v>
      </c>
    </row>
    <row r="49" spans="1:58" x14ac:dyDescent="0.25">
      <c r="A49" s="34" t="s">
        <v>142</v>
      </c>
      <c r="B49" s="1" t="e">
        <f t="shared" si="97"/>
        <v>#N/A</v>
      </c>
      <c r="C49" s="1"/>
      <c r="D49" s="1"/>
      <c r="E49" t="s">
        <v>143</v>
      </c>
      <c r="F49" s="79"/>
      <c r="G49" s="1" t="s">
        <v>150</v>
      </c>
      <c r="H49" s="1">
        <f>Worksheet!P78</f>
        <v>0</v>
      </c>
      <c r="AC49" s="1">
        <f>SUM(I49:INDEX(I49:AB49,Level))+H49</f>
        <v>0</v>
      </c>
      <c r="AD49" s="45">
        <f t="shared" si="76"/>
        <v>-25</v>
      </c>
      <c r="AE49" s="45" cm="1">
        <f t="array" aca="1" ref="AE49" ca="1">IF(G49="NA",0,INDIRECT(LEFT(G49,2))+INDIRECT(MID(G49,4,2))+INDIRECT(RIGHT(G49,2)))</f>
        <v>0</v>
      </c>
      <c r="AF49" s="45">
        <f t="shared" si="26"/>
        <v>0</v>
      </c>
      <c r="AG49" s="45">
        <f t="shared" si="27"/>
        <v>0</v>
      </c>
      <c r="AH49" s="45"/>
      <c r="AI49" s="51">
        <f t="shared" ca="1" si="28"/>
        <v>-25</v>
      </c>
      <c r="AM49" s="72">
        <f t="shared" si="77"/>
        <v>0</v>
      </c>
      <c r="AN49" s="72">
        <f t="shared" si="78"/>
        <v>0</v>
      </c>
      <c r="AO49" s="72">
        <f t="shared" si="79"/>
        <v>0</v>
      </c>
      <c r="AP49" s="72">
        <f t="shared" si="80"/>
        <v>0</v>
      </c>
      <c r="AQ49" s="72">
        <f t="shared" si="81"/>
        <v>0</v>
      </c>
      <c r="AR49" s="72">
        <f t="shared" si="82"/>
        <v>0</v>
      </c>
      <c r="AS49" s="72">
        <f t="shared" si="83"/>
        <v>0</v>
      </c>
      <c r="AT49" s="72">
        <f t="shared" si="84"/>
        <v>0</v>
      </c>
      <c r="AU49" s="72">
        <f t="shared" si="85"/>
        <v>0</v>
      </c>
      <c r="AV49" s="72">
        <f t="shared" si="86"/>
        <v>0</v>
      </c>
      <c r="AW49" s="72">
        <f t="shared" si="87"/>
        <v>0</v>
      </c>
      <c r="AX49" s="72">
        <f t="shared" si="88"/>
        <v>0</v>
      </c>
      <c r="AY49" s="72">
        <f t="shared" si="89"/>
        <v>0</v>
      </c>
      <c r="AZ49" s="72">
        <f t="shared" si="90"/>
        <v>0</v>
      </c>
      <c r="BA49" s="72">
        <f t="shared" si="91"/>
        <v>0</v>
      </c>
      <c r="BB49" s="72">
        <f t="shared" si="92"/>
        <v>0</v>
      </c>
      <c r="BC49" s="72">
        <f t="shared" si="93"/>
        <v>0</v>
      </c>
      <c r="BD49" s="72">
        <f t="shared" si="94"/>
        <v>0</v>
      </c>
      <c r="BE49" s="72">
        <f t="shared" si="95"/>
        <v>0</v>
      </c>
      <c r="BF49" s="72">
        <f t="shared" si="96"/>
        <v>0</v>
      </c>
    </row>
    <row r="50" spans="1:58" x14ac:dyDescent="0.25">
      <c r="A50" s="34" t="s">
        <v>142</v>
      </c>
      <c r="B50" s="1" t="e">
        <f t="shared" si="97"/>
        <v>#N/A</v>
      </c>
      <c r="C50" s="1"/>
      <c r="D50" s="1"/>
      <c r="E50" t="s">
        <v>144</v>
      </c>
      <c r="F50" s="79"/>
      <c r="G50" s="1" t="s">
        <v>151</v>
      </c>
      <c r="H50" s="1">
        <f>Worksheet!P79</f>
        <v>0</v>
      </c>
      <c r="AC50" s="1">
        <f>SUM(I50:INDEX(I50:AB50,Level))+H50</f>
        <v>0</v>
      </c>
      <c r="AD50" s="45">
        <f t="shared" si="76"/>
        <v>-25</v>
      </c>
      <c r="AE50" s="45" cm="1">
        <f t="array" aca="1" ref="AE50" ca="1">IF(G50="NA",0,INDIRECT(LEFT(G50,2))+INDIRECT(MID(G50,4,2))+INDIRECT(RIGHT(G50,2)))</f>
        <v>0</v>
      </c>
      <c r="AF50" s="45">
        <f t="shared" si="26"/>
        <v>0</v>
      </c>
      <c r="AG50" s="45">
        <f t="shared" si="27"/>
        <v>0</v>
      </c>
      <c r="AH50" s="45"/>
      <c r="AI50" s="51">
        <f t="shared" ca="1" si="28"/>
        <v>-25</v>
      </c>
      <c r="AM50" s="72">
        <f t="shared" si="77"/>
        <v>0</v>
      </c>
      <c r="AN50" s="72">
        <f t="shared" si="78"/>
        <v>0</v>
      </c>
      <c r="AO50" s="72">
        <f t="shared" si="79"/>
        <v>0</v>
      </c>
      <c r="AP50" s="72">
        <f t="shared" si="80"/>
        <v>0</v>
      </c>
      <c r="AQ50" s="72">
        <f t="shared" si="81"/>
        <v>0</v>
      </c>
      <c r="AR50" s="72">
        <f t="shared" si="82"/>
        <v>0</v>
      </c>
      <c r="AS50" s="72">
        <f t="shared" si="83"/>
        <v>0</v>
      </c>
      <c r="AT50" s="72">
        <f t="shared" si="84"/>
        <v>0</v>
      </c>
      <c r="AU50" s="72">
        <f t="shared" si="85"/>
        <v>0</v>
      </c>
      <c r="AV50" s="72">
        <f t="shared" si="86"/>
        <v>0</v>
      </c>
      <c r="AW50" s="72">
        <f t="shared" si="87"/>
        <v>0</v>
      </c>
      <c r="AX50" s="72">
        <f t="shared" si="88"/>
        <v>0</v>
      </c>
      <c r="AY50" s="72">
        <f t="shared" si="89"/>
        <v>0</v>
      </c>
      <c r="AZ50" s="72">
        <f t="shared" si="90"/>
        <v>0</v>
      </c>
      <c r="BA50" s="72">
        <f t="shared" si="91"/>
        <v>0</v>
      </c>
      <c r="BB50" s="72">
        <f t="shared" si="92"/>
        <v>0</v>
      </c>
      <c r="BC50" s="72">
        <f t="shared" si="93"/>
        <v>0</v>
      </c>
      <c r="BD50" s="72">
        <f t="shared" si="94"/>
        <v>0</v>
      </c>
      <c r="BE50" s="72">
        <f t="shared" si="95"/>
        <v>0</v>
      </c>
      <c r="BF50" s="72">
        <f t="shared" si="96"/>
        <v>0</v>
      </c>
    </row>
    <row r="51" spans="1:58" x14ac:dyDescent="0.25">
      <c r="A51" s="34" t="s">
        <v>142</v>
      </c>
      <c r="B51" s="1" t="e">
        <f t="shared" si="97"/>
        <v>#N/A</v>
      </c>
      <c r="C51" s="1"/>
      <c r="D51" s="1"/>
      <c r="E51" t="s">
        <v>145</v>
      </c>
      <c r="F51" s="79"/>
      <c r="G51" s="1" t="s">
        <v>150</v>
      </c>
      <c r="H51" s="1">
        <f>Worksheet!P80</f>
        <v>0</v>
      </c>
      <c r="AC51" s="1">
        <f>SUM(I51:INDEX(I51:AB51,Level))+H51</f>
        <v>0</v>
      </c>
      <c r="AD51" s="45">
        <f t="shared" si="76"/>
        <v>-25</v>
      </c>
      <c r="AE51" s="45" cm="1">
        <f t="array" aca="1" ref="AE51" ca="1">IF(G51="NA",0,INDIRECT(LEFT(G51,2))+INDIRECT(MID(G51,4,2))+INDIRECT(RIGHT(G51,2)))</f>
        <v>0</v>
      </c>
      <c r="AF51" s="45">
        <f t="shared" si="26"/>
        <v>0</v>
      </c>
      <c r="AG51" s="45">
        <f t="shared" si="27"/>
        <v>0</v>
      </c>
      <c r="AH51" s="45"/>
      <c r="AI51" s="51">
        <f t="shared" ca="1" si="28"/>
        <v>-25</v>
      </c>
      <c r="AM51" s="72">
        <f t="shared" si="77"/>
        <v>0</v>
      </c>
      <c r="AN51" s="72">
        <f t="shared" si="78"/>
        <v>0</v>
      </c>
      <c r="AO51" s="72">
        <f t="shared" si="79"/>
        <v>0</v>
      </c>
      <c r="AP51" s="72">
        <f t="shared" si="80"/>
        <v>0</v>
      </c>
      <c r="AQ51" s="72">
        <f t="shared" si="81"/>
        <v>0</v>
      </c>
      <c r="AR51" s="72">
        <f t="shared" si="82"/>
        <v>0</v>
      </c>
      <c r="AS51" s="72">
        <f t="shared" si="83"/>
        <v>0</v>
      </c>
      <c r="AT51" s="72">
        <f t="shared" si="84"/>
        <v>0</v>
      </c>
      <c r="AU51" s="72">
        <f t="shared" si="85"/>
        <v>0</v>
      </c>
      <c r="AV51" s="72">
        <f t="shared" si="86"/>
        <v>0</v>
      </c>
      <c r="AW51" s="72">
        <f t="shared" si="87"/>
        <v>0</v>
      </c>
      <c r="AX51" s="72">
        <f t="shared" si="88"/>
        <v>0</v>
      </c>
      <c r="AY51" s="72">
        <f t="shared" si="89"/>
        <v>0</v>
      </c>
      <c r="AZ51" s="72">
        <f t="shared" si="90"/>
        <v>0</v>
      </c>
      <c r="BA51" s="72">
        <f t="shared" si="91"/>
        <v>0</v>
      </c>
      <c r="BB51" s="72">
        <f t="shared" si="92"/>
        <v>0</v>
      </c>
      <c r="BC51" s="72">
        <f t="shared" si="93"/>
        <v>0</v>
      </c>
      <c r="BD51" s="72">
        <f t="shared" si="94"/>
        <v>0</v>
      </c>
      <c r="BE51" s="72">
        <f t="shared" si="95"/>
        <v>0</v>
      </c>
      <c r="BF51" s="72">
        <f t="shared" si="96"/>
        <v>0</v>
      </c>
    </row>
    <row r="52" spans="1:58" x14ac:dyDescent="0.25">
      <c r="A52" s="34" t="s">
        <v>142</v>
      </c>
      <c r="B52" s="1" t="e">
        <f t="shared" si="97"/>
        <v>#N/A</v>
      </c>
      <c r="C52" s="1"/>
      <c r="D52" s="1"/>
      <c r="E52" t="s">
        <v>146</v>
      </c>
      <c r="F52" s="79"/>
      <c r="G52" s="1" t="s">
        <v>150</v>
      </c>
      <c r="H52" s="1">
        <f>Worksheet!P81</f>
        <v>0</v>
      </c>
      <c r="AC52" s="1">
        <f>SUM(I52:INDEX(I52:AB52,Level))+H52</f>
        <v>0</v>
      </c>
      <c r="AD52" s="45">
        <f t="shared" si="76"/>
        <v>-25</v>
      </c>
      <c r="AE52" s="45" cm="1">
        <f t="array" aca="1" ref="AE52" ca="1">IF(G52="NA",0,INDIRECT(LEFT(G52,2))+INDIRECT(MID(G52,4,2))+INDIRECT(RIGHT(G52,2)))</f>
        <v>0</v>
      </c>
      <c r="AF52" s="45">
        <f t="shared" si="26"/>
        <v>0</v>
      </c>
      <c r="AG52" s="45">
        <f t="shared" si="27"/>
        <v>0</v>
      </c>
      <c r="AH52" s="45"/>
      <c r="AI52" s="51">
        <f t="shared" ca="1" si="28"/>
        <v>-25</v>
      </c>
      <c r="AM52" s="72">
        <f t="shared" si="77"/>
        <v>0</v>
      </c>
      <c r="AN52" s="72">
        <f t="shared" si="78"/>
        <v>0</v>
      </c>
      <c r="AO52" s="72">
        <f t="shared" si="79"/>
        <v>0</v>
      </c>
      <c r="AP52" s="72">
        <f t="shared" si="80"/>
        <v>0</v>
      </c>
      <c r="AQ52" s="72">
        <f t="shared" si="81"/>
        <v>0</v>
      </c>
      <c r="AR52" s="72">
        <f t="shared" si="82"/>
        <v>0</v>
      </c>
      <c r="AS52" s="72">
        <f t="shared" si="83"/>
        <v>0</v>
      </c>
      <c r="AT52" s="72">
        <f t="shared" si="84"/>
        <v>0</v>
      </c>
      <c r="AU52" s="72">
        <f t="shared" si="85"/>
        <v>0</v>
      </c>
      <c r="AV52" s="72">
        <f t="shared" si="86"/>
        <v>0</v>
      </c>
      <c r="AW52" s="72">
        <f t="shared" si="87"/>
        <v>0</v>
      </c>
      <c r="AX52" s="72">
        <f t="shared" si="88"/>
        <v>0</v>
      </c>
      <c r="AY52" s="72">
        <f t="shared" si="89"/>
        <v>0</v>
      </c>
      <c r="AZ52" s="72">
        <f t="shared" si="90"/>
        <v>0</v>
      </c>
      <c r="BA52" s="72">
        <f t="shared" si="91"/>
        <v>0</v>
      </c>
      <c r="BB52" s="72">
        <f t="shared" si="92"/>
        <v>0</v>
      </c>
      <c r="BC52" s="72">
        <f t="shared" si="93"/>
        <v>0</v>
      </c>
      <c r="BD52" s="72">
        <f t="shared" si="94"/>
        <v>0</v>
      </c>
      <c r="BE52" s="72">
        <f t="shared" si="95"/>
        <v>0</v>
      </c>
      <c r="BF52" s="72">
        <f t="shared" si="96"/>
        <v>0</v>
      </c>
    </row>
    <row r="53" spans="1:58" x14ac:dyDescent="0.25">
      <c r="A53" s="34" t="s">
        <v>142</v>
      </c>
      <c r="B53" s="1" t="e">
        <f t="shared" si="97"/>
        <v>#N/A</v>
      </c>
      <c r="C53" s="1"/>
      <c r="D53" s="1"/>
      <c r="E53" t="s">
        <v>147</v>
      </c>
      <c r="F53" s="79"/>
      <c r="G53" s="1" t="s">
        <v>152</v>
      </c>
      <c r="H53" s="1">
        <f>Worksheet!P82</f>
        <v>0</v>
      </c>
      <c r="AC53" s="1">
        <f>SUM(I53:INDEX(I53:AB53,Level))+H53</f>
        <v>0</v>
      </c>
      <c r="AD53" s="45">
        <f t="shared" si="76"/>
        <v>-25</v>
      </c>
      <c r="AE53" s="45" cm="1">
        <f t="array" aca="1" ref="AE53" ca="1">IF(G53="NA",0,INDIRECT(LEFT(G53,2))+INDIRECT(MID(G53,4,2))+INDIRECT(RIGHT(G53,2)))</f>
        <v>8</v>
      </c>
      <c r="AF53" s="45">
        <f t="shared" si="26"/>
        <v>0</v>
      </c>
      <c r="AG53" s="45">
        <f t="shared" si="27"/>
        <v>0</v>
      </c>
      <c r="AH53" s="45"/>
      <c r="AI53" s="51">
        <f t="shared" ca="1" si="28"/>
        <v>-17</v>
      </c>
      <c r="AM53" s="72">
        <f t="shared" si="77"/>
        <v>0</v>
      </c>
      <c r="AN53" s="72">
        <f t="shared" si="78"/>
        <v>0</v>
      </c>
      <c r="AO53" s="72">
        <f t="shared" si="79"/>
        <v>0</v>
      </c>
      <c r="AP53" s="72">
        <f t="shared" si="80"/>
        <v>0</v>
      </c>
      <c r="AQ53" s="72">
        <f t="shared" si="81"/>
        <v>0</v>
      </c>
      <c r="AR53" s="72">
        <f t="shared" si="82"/>
        <v>0</v>
      </c>
      <c r="AS53" s="72">
        <f t="shared" si="83"/>
        <v>0</v>
      </c>
      <c r="AT53" s="72">
        <f t="shared" si="84"/>
        <v>0</v>
      </c>
      <c r="AU53" s="72">
        <f t="shared" si="85"/>
        <v>0</v>
      </c>
      <c r="AV53" s="72">
        <f t="shared" si="86"/>
        <v>0</v>
      </c>
      <c r="AW53" s="72">
        <f t="shared" si="87"/>
        <v>0</v>
      </c>
      <c r="AX53" s="72">
        <f t="shared" si="88"/>
        <v>0</v>
      </c>
      <c r="AY53" s="72">
        <f t="shared" si="89"/>
        <v>0</v>
      </c>
      <c r="AZ53" s="72">
        <f t="shared" si="90"/>
        <v>0</v>
      </c>
      <c r="BA53" s="72">
        <f t="shared" si="91"/>
        <v>0</v>
      </c>
      <c r="BB53" s="72">
        <f t="shared" si="92"/>
        <v>0</v>
      </c>
      <c r="BC53" s="72">
        <f t="shared" si="93"/>
        <v>0</v>
      </c>
      <c r="BD53" s="72">
        <f t="shared" si="94"/>
        <v>0</v>
      </c>
      <c r="BE53" s="72">
        <f t="shared" si="95"/>
        <v>0</v>
      </c>
      <c r="BF53" s="72">
        <f t="shared" si="96"/>
        <v>0</v>
      </c>
    </row>
    <row r="54" spans="1:58" x14ac:dyDescent="0.25">
      <c r="A54" s="34" t="s">
        <v>142</v>
      </c>
      <c r="B54" s="1" t="e">
        <f t="shared" si="97"/>
        <v>#N/A</v>
      </c>
      <c r="C54" s="1"/>
      <c r="D54" s="1"/>
      <c r="E54" t="s">
        <v>148</v>
      </c>
      <c r="F54" s="79"/>
      <c r="G54" s="1" t="s">
        <v>152</v>
      </c>
      <c r="H54" s="1">
        <f>Worksheet!P83</f>
        <v>0</v>
      </c>
      <c r="AC54" s="1">
        <f>SUM(I54:INDEX(I54:AB54,Level))+H54</f>
        <v>0</v>
      </c>
      <c r="AD54" s="45">
        <f t="shared" si="76"/>
        <v>-25</v>
      </c>
      <c r="AE54" s="45" cm="1">
        <f t="array" aca="1" ref="AE54" ca="1">IF(G54="NA",0,INDIRECT(LEFT(G54,2))+INDIRECT(MID(G54,4,2))+INDIRECT(RIGHT(G54,2)))</f>
        <v>8</v>
      </c>
      <c r="AF54" s="45">
        <f t="shared" si="26"/>
        <v>0</v>
      </c>
      <c r="AG54" s="45">
        <f t="shared" si="27"/>
        <v>0</v>
      </c>
      <c r="AH54" s="45"/>
      <c r="AI54" s="51">
        <f t="shared" ca="1" si="28"/>
        <v>-17</v>
      </c>
      <c r="AM54" s="72">
        <f t="shared" si="77"/>
        <v>0</v>
      </c>
      <c r="AN54" s="72">
        <f t="shared" si="78"/>
        <v>0</v>
      </c>
      <c r="AO54" s="72">
        <f t="shared" si="79"/>
        <v>0</v>
      </c>
      <c r="AP54" s="72">
        <f t="shared" si="80"/>
        <v>0</v>
      </c>
      <c r="AQ54" s="72">
        <f t="shared" si="81"/>
        <v>0</v>
      </c>
      <c r="AR54" s="72">
        <f t="shared" si="82"/>
        <v>0</v>
      </c>
      <c r="AS54" s="72">
        <f t="shared" si="83"/>
        <v>0</v>
      </c>
      <c r="AT54" s="72">
        <f t="shared" si="84"/>
        <v>0</v>
      </c>
      <c r="AU54" s="72">
        <f t="shared" si="85"/>
        <v>0</v>
      </c>
      <c r="AV54" s="72">
        <f t="shared" si="86"/>
        <v>0</v>
      </c>
      <c r="AW54" s="72">
        <f t="shared" si="87"/>
        <v>0</v>
      </c>
      <c r="AX54" s="72">
        <f t="shared" si="88"/>
        <v>0</v>
      </c>
      <c r="AY54" s="72">
        <f t="shared" si="89"/>
        <v>0</v>
      </c>
      <c r="AZ54" s="72">
        <f t="shared" si="90"/>
        <v>0</v>
      </c>
      <c r="BA54" s="72">
        <f t="shared" si="91"/>
        <v>0</v>
      </c>
      <c r="BB54" s="72">
        <f t="shared" si="92"/>
        <v>0</v>
      </c>
      <c r="BC54" s="72">
        <f t="shared" si="93"/>
        <v>0</v>
      </c>
      <c r="BD54" s="72">
        <f t="shared" si="94"/>
        <v>0</v>
      </c>
      <c r="BE54" s="72">
        <f t="shared" si="95"/>
        <v>0</v>
      </c>
      <c r="BF54" s="72">
        <f t="shared" si="96"/>
        <v>0</v>
      </c>
    </row>
    <row r="55" spans="1:58" x14ac:dyDescent="0.25">
      <c r="A55" s="34" t="s">
        <v>142</v>
      </c>
      <c r="B55" s="1" t="e">
        <f t="shared" si="97"/>
        <v>#N/A</v>
      </c>
      <c r="C55" s="1"/>
      <c r="D55" s="1"/>
      <c r="E55" t="s">
        <v>149</v>
      </c>
      <c r="F55" s="79"/>
      <c r="G55" s="1" t="s">
        <v>150</v>
      </c>
      <c r="H55" s="1">
        <f>Worksheet!P84</f>
        <v>0</v>
      </c>
      <c r="AC55" s="1">
        <f>SUM(I55:INDEX(I55:AB55,Level))+H55</f>
        <v>0</v>
      </c>
      <c r="AD55" s="45">
        <f t="shared" si="76"/>
        <v>-25</v>
      </c>
      <c r="AE55" s="45" cm="1">
        <f t="array" aca="1" ref="AE55" ca="1">IF(G55="NA",0,INDIRECT(LEFT(G55,2))+INDIRECT(MID(G55,4,2))+INDIRECT(RIGHT(G55,2)))</f>
        <v>0</v>
      </c>
      <c r="AF55" s="45">
        <f t="shared" si="26"/>
        <v>0</v>
      </c>
      <c r="AG55" s="45">
        <f t="shared" si="27"/>
        <v>0</v>
      </c>
      <c r="AH55" s="45"/>
      <c r="AI55" s="51">
        <f t="shared" ca="1" si="28"/>
        <v>-25</v>
      </c>
      <c r="AM55" s="72">
        <f t="shared" si="77"/>
        <v>0</v>
      </c>
      <c r="AN55" s="72">
        <f t="shared" si="78"/>
        <v>0</v>
      </c>
      <c r="AO55" s="72">
        <f t="shared" si="79"/>
        <v>0</v>
      </c>
      <c r="AP55" s="72">
        <f t="shared" si="80"/>
        <v>0</v>
      </c>
      <c r="AQ55" s="72">
        <f t="shared" si="81"/>
        <v>0</v>
      </c>
      <c r="AR55" s="72">
        <f t="shared" si="82"/>
        <v>0</v>
      </c>
      <c r="AS55" s="72">
        <f t="shared" si="83"/>
        <v>0</v>
      </c>
      <c r="AT55" s="72">
        <f t="shared" si="84"/>
        <v>0</v>
      </c>
      <c r="AU55" s="72">
        <f t="shared" si="85"/>
        <v>0</v>
      </c>
      <c r="AV55" s="72">
        <f t="shared" si="86"/>
        <v>0</v>
      </c>
      <c r="AW55" s="72">
        <f t="shared" si="87"/>
        <v>0</v>
      </c>
      <c r="AX55" s="72">
        <f t="shared" si="88"/>
        <v>0</v>
      </c>
      <c r="AY55" s="72">
        <f t="shared" si="89"/>
        <v>0</v>
      </c>
      <c r="AZ55" s="72">
        <f t="shared" si="90"/>
        <v>0</v>
      </c>
      <c r="BA55" s="72">
        <f t="shared" si="91"/>
        <v>0</v>
      </c>
      <c r="BB55" s="72">
        <f t="shared" si="92"/>
        <v>0</v>
      </c>
      <c r="BC55" s="72">
        <f t="shared" si="93"/>
        <v>0</v>
      </c>
      <c r="BD55" s="72">
        <f t="shared" si="94"/>
        <v>0</v>
      </c>
      <c r="BE55" s="72">
        <f t="shared" si="95"/>
        <v>0</v>
      </c>
      <c r="BF55" s="72">
        <f t="shared" si="96"/>
        <v>0</v>
      </c>
    </row>
    <row r="56" spans="1:58" x14ac:dyDescent="0.25">
      <c r="A56" s="34" t="s">
        <v>153</v>
      </c>
      <c r="B56" s="1" t="e">
        <f t="shared" si="97"/>
        <v>#N/A</v>
      </c>
      <c r="C56" s="1"/>
      <c r="D56" s="1"/>
      <c r="E56" t="s">
        <v>154</v>
      </c>
      <c r="F56" s="79"/>
      <c r="G56" s="1" t="s">
        <v>140</v>
      </c>
      <c r="H56" s="76"/>
      <c r="AC56" s="1">
        <f>SUM(I56:INDEX(I56:AB56,Level))+H56</f>
        <v>0</v>
      </c>
      <c r="AD56" s="45">
        <f t="shared" si="76"/>
        <v>-25</v>
      </c>
      <c r="AE56" s="45" cm="1">
        <f t="array" aca="1" ref="AE56" ca="1">IF(G56="NA",0,INDIRECT(LEFT(G56,2))+INDIRECT(MID(G56,4,2))+INDIRECT(RIGHT(G56,2)))</f>
        <v>0</v>
      </c>
      <c r="AF56" s="45">
        <f t="shared" si="26"/>
        <v>0</v>
      </c>
      <c r="AG56" s="45">
        <f t="shared" si="27"/>
        <v>0</v>
      </c>
      <c r="AH56" s="45"/>
      <c r="AI56" s="51">
        <f t="shared" ca="1" si="28"/>
        <v>-25</v>
      </c>
      <c r="AM56" s="72">
        <f t="shared" si="77"/>
        <v>0</v>
      </c>
      <c r="AN56" s="72">
        <f t="shared" si="78"/>
        <v>0</v>
      </c>
      <c r="AO56" s="72">
        <f t="shared" si="79"/>
        <v>0</v>
      </c>
      <c r="AP56" s="72">
        <f t="shared" si="80"/>
        <v>0</v>
      </c>
      <c r="AQ56" s="72">
        <f t="shared" si="81"/>
        <v>0</v>
      </c>
      <c r="AR56" s="72">
        <f t="shared" si="82"/>
        <v>0</v>
      </c>
      <c r="AS56" s="72">
        <f t="shared" si="83"/>
        <v>0</v>
      </c>
      <c r="AT56" s="72">
        <f t="shared" si="84"/>
        <v>0</v>
      </c>
      <c r="AU56" s="72">
        <f t="shared" si="85"/>
        <v>0</v>
      </c>
      <c r="AV56" s="72">
        <f t="shared" si="86"/>
        <v>0</v>
      </c>
      <c r="AW56" s="72">
        <f t="shared" si="87"/>
        <v>0</v>
      </c>
      <c r="AX56" s="72">
        <f t="shared" si="88"/>
        <v>0</v>
      </c>
      <c r="AY56" s="72">
        <f t="shared" si="89"/>
        <v>0</v>
      </c>
      <c r="AZ56" s="72">
        <f t="shared" si="90"/>
        <v>0</v>
      </c>
      <c r="BA56" s="72">
        <f t="shared" si="91"/>
        <v>0</v>
      </c>
      <c r="BB56" s="72">
        <f t="shared" si="92"/>
        <v>0</v>
      </c>
      <c r="BC56" s="72">
        <f t="shared" si="93"/>
        <v>0</v>
      </c>
      <c r="BD56" s="72">
        <f t="shared" si="94"/>
        <v>0</v>
      </c>
      <c r="BE56" s="72">
        <f t="shared" si="95"/>
        <v>0</v>
      </c>
      <c r="BF56" s="72">
        <f t="shared" si="96"/>
        <v>0</v>
      </c>
    </row>
    <row r="57" spans="1:58" x14ac:dyDescent="0.25">
      <c r="A57" s="34" t="s">
        <v>153</v>
      </c>
      <c r="B57" s="1" t="e">
        <f t="shared" si="97"/>
        <v>#N/A</v>
      </c>
      <c r="C57" s="1"/>
      <c r="D57" s="1"/>
      <c r="E57" t="s">
        <v>155</v>
      </c>
      <c r="F57" s="79"/>
      <c r="G57" s="1" t="s">
        <v>140</v>
      </c>
      <c r="H57" s="76"/>
      <c r="AC57" s="1">
        <f>SUM(I57:INDEX(I57:AB57,Level))+H57</f>
        <v>0</v>
      </c>
      <c r="AD57" s="45">
        <f t="shared" si="76"/>
        <v>-25</v>
      </c>
      <c r="AE57" s="45" cm="1">
        <f t="array" aca="1" ref="AE57" ca="1">IF(G57="NA",0,INDIRECT(LEFT(G57,2))+INDIRECT(MID(G57,4,2))+INDIRECT(RIGHT(G57,2)))</f>
        <v>0</v>
      </c>
      <c r="AF57" s="45">
        <f t="shared" si="26"/>
        <v>0</v>
      </c>
      <c r="AG57" s="45">
        <f t="shared" si="27"/>
        <v>0</v>
      </c>
      <c r="AH57" s="45"/>
      <c r="AI57" s="51">
        <f t="shared" ca="1" si="28"/>
        <v>-25</v>
      </c>
      <c r="AM57" s="72">
        <f t="shared" si="77"/>
        <v>0</v>
      </c>
      <c r="AN57" s="72">
        <f t="shared" si="78"/>
        <v>0</v>
      </c>
      <c r="AO57" s="72">
        <f t="shared" si="79"/>
        <v>0</v>
      </c>
      <c r="AP57" s="72">
        <f t="shared" si="80"/>
        <v>0</v>
      </c>
      <c r="AQ57" s="72">
        <f t="shared" si="81"/>
        <v>0</v>
      </c>
      <c r="AR57" s="72">
        <f t="shared" si="82"/>
        <v>0</v>
      </c>
      <c r="AS57" s="72">
        <f t="shared" si="83"/>
        <v>0</v>
      </c>
      <c r="AT57" s="72">
        <f t="shared" si="84"/>
        <v>0</v>
      </c>
      <c r="AU57" s="72">
        <f t="shared" si="85"/>
        <v>0</v>
      </c>
      <c r="AV57" s="72">
        <f t="shared" si="86"/>
        <v>0</v>
      </c>
      <c r="AW57" s="72">
        <f t="shared" si="87"/>
        <v>0</v>
      </c>
      <c r="AX57" s="72">
        <f t="shared" si="88"/>
        <v>0</v>
      </c>
      <c r="AY57" s="72">
        <f t="shared" si="89"/>
        <v>0</v>
      </c>
      <c r="AZ57" s="72">
        <f t="shared" si="90"/>
        <v>0</v>
      </c>
      <c r="BA57" s="72">
        <f t="shared" si="91"/>
        <v>0</v>
      </c>
      <c r="BB57" s="72">
        <f t="shared" si="92"/>
        <v>0</v>
      </c>
      <c r="BC57" s="72">
        <f t="shared" si="93"/>
        <v>0</v>
      </c>
      <c r="BD57" s="72">
        <f t="shared" si="94"/>
        <v>0</v>
      </c>
      <c r="BE57" s="72">
        <f t="shared" si="95"/>
        <v>0</v>
      </c>
      <c r="BF57" s="72">
        <f t="shared" si="96"/>
        <v>0</v>
      </c>
    </row>
    <row r="58" spans="1:58" x14ac:dyDescent="0.25">
      <c r="A58" s="34" t="s">
        <v>156</v>
      </c>
      <c r="B58" s="1" t="e">
        <f t="shared" si="97"/>
        <v>#N/A</v>
      </c>
      <c r="C58" s="1"/>
      <c r="D58" s="1"/>
      <c r="E58" t="s">
        <v>157</v>
      </c>
      <c r="F58" s="79"/>
      <c r="G58" s="1" t="s">
        <v>160</v>
      </c>
      <c r="H58" s="1" t="e">
        <f>Worksheet!P16</f>
        <v>#N/A</v>
      </c>
      <c r="AC58" s="1" t="e">
        <f>SUM(I58:INDEX(I58:AB58,Level))+H58</f>
        <v>#N/A</v>
      </c>
      <c r="AD58" s="45" t="e">
        <f t="shared" si="76"/>
        <v>#N/A</v>
      </c>
      <c r="AE58" s="45" cm="1">
        <f t="array" aca="1" ref="AE58" ca="1">IF(G58="NA",0,INDIRECT(LEFT(G58,2))+INDIRECT(MID(G58,4,2))+INDIRECT(RIGHT(G58,2)))</f>
        <v>0</v>
      </c>
      <c r="AF58" s="45">
        <f t="shared" si="26"/>
        <v>0</v>
      </c>
      <c r="AG58" s="45">
        <f t="shared" si="27"/>
        <v>0</v>
      </c>
      <c r="AH58" s="45"/>
      <c r="AI58" s="51" t="e">
        <f t="shared" si="28"/>
        <v>#N/A</v>
      </c>
      <c r="AM58" s="72">
        <f t="shared" si="77"/>
        <v>0</v>
      </c>
      <c r="AN58" s="72">
        <f t="shared" si="78"/>
        <v>0</v>
      </c>
      <c r="AO58" s="72">
        <f t="shared" si="79"/>
        <v>0</v>
      </c>
      <c r="AP58" s="72">
        <f t="shared" si="80"/>
        <v>0</v>
      </c>
      <c r="AQ58" s="72">
        <f t="shared" si="81"/>
        <v>0</v>
      </c>
      <c r="AR58" s="72">
        <f t="shared" si="82"/>
        <v>0</v>
      </c>
      <c r="AS58" s="72">
        <f t="shared" si="83"/>
        <v>0</v>
      </c>
      <c r="AT58" s="72">
        <f t="shared" si="84"/>
        <v>0</v>
      </c>
      <c r="AU58" s="72">
        <f t="shared" si="85"/>
        <v>0</v>
      </c>
      <c r="AV58" s="72">
        <f t="shared" si="86"/>
        <v>0</v>
      </c>
      <c r="AW58" s="72">
        <f t="shared" si="87"/>
        <v>0</v>
      </c>
      <c r="AX58" s="72">
        <f t="shared" si="88"/>
        <v>0</v>
      </c>
      <c r="AY58" s="72">
        <f t="shared" si="89"/>
        <v>0</v>
      </c>
      <c r="AZ58" s="72">
        <f t="shared" si="90"/>
        <v>0</v>
      </c>
      <c r="BA58" s="72">
        <f t="shared" si="91"/>
        <v>0</v>
      </c>
      <c r="BB58" s="72">
        <f t="shared" si="92"/>
        <v>0</v>
      </c>
      <c r="BC58" s="72">
        <f t="shared" si="93"/>
        <v>0</v>
      </c>
      <c r="BD58" s="72">
        <f t="shared" si="94"/>
        <v>0</v>
      </c>
      <c r="BE58" s="72">
        <f t="shared" si="95"/>
        <v>0</v>
      </c>
      <c r="BF58" s="72">
        <f t="shared" si="96"/>
        <v>0</v>
      </c>
    </row>
    <row r="59" spans="1:58" x14ac:dyDescent="0.25">
      <c r="A59" s="34" t="s">
        <v>156</v>
      </c>
      <c r="B59" s="1" t="e">
        <f t="shared" si="97"/>
        <v>#N/A</v>
      </c>
      <c r="C59" s="1"/>
      <c r="D59" s="1"/>
      <c r="E59" t="s">
        <v>158</v>
      </c>
      <c r="F59" s="79"/>
      <c r="G59" s="1" t="s">
        <v>161</v>
      </c>
      <c r="H59" s="1" t="e">
        <f>Worksheet!P17</f>
        <v>#N/A</v>
      </c>
      <c r="AC59" s="1" t="e">
        <f>SUM(I59:INDEX(I59:AB59,Level))+H59</f>
        <v>#N/A</v>
      </c>
      <c r="AD59" s="45" t="e">
        <f t="shared" si="76"/>
        <v>#N/A</v>
      </c>
      <c r="AE59" s="45" cm="1">
        <f t="array" aca="1" ref="AE59" ca="1">IF(G59="NA",0,INDIRECT(LEFT(G59,2))+INDIRECT(MID(G59,4,2))+INDIRECT(RIGHT(G59,2)))</f>
        <v>0</v>
      </c>
      <c r="AF59" s="45">
        <f t="shared" si="26"/>
        <v>0</v>
      </c>
      <c r="AG59" s="45">
        <f t="shared" si="27"/>
        <v>0</v>
      </c>
      <c r="AH59" s="45"/>
      <c r="AI59" s="51" t="e">
        <f t="shared" si="28"/>
        <v>#N/A</v>
      </c>
      <c r="AM59" s="72">
        <f t="shared" si="77"/>
        <v>0</v>
      </c>
      <c r="AN59" s="72">
        <f t="shared" si="78"/>
        <v>0</v>
      </c>
      <c r="AO59" s="72">
        <f t="shared" si="79"/>
        <v>0</v>
      </c>
      <c r="AP59" s="72">
        <f t="shared" si="80"/>
        <v>0</v>
      </c>
      <c r="AQ59" s="72">
        <f t="shared" si="81"/>
        <v>0</v>
      </c>
      <c r="AR59" s="72">
        <f t="shared" si="82"/>
        <v>0</v>
      </c>
      <c r="AS59" s="72">
        <f t="shared" si="83"/>
        <v>0</v>
      </c>
      <c r="AT59" s="72">
        <f t="shared" si="84"/>
        <v>0</v>
      </c>
      <c r="AU59" s="72">
        <f t="shared" si="85"/>
        <v>0</v>
      </c>
      <c r="AV59" s="72">
        <f t="shared" si="86"/>
        <v>0</v>
      </c>
      <c r="AW59" s="72">
        <f t="shared" si="87"/>
        <v>0</v>
      </c>
      <c r="AX59" s="72">
        <f t="shared" si="88"/>
        <v>0</v>
      </c>
      <c r="AY59" s="72">
        <f t="shared" si="89"/>
        <v>0</v>
      </c>
      <c r="AZ59" s="72">
        <f t="shared" si="90"/>
        <v>0</v>
      </c>
      <c r="BA59" s="72">
        <f t="shared" si="91"/>
        <v>0</v>
      </c>
      <c r="BB59" s="72">
        <f t="shared" si="92"/>
        <v>0</v>
      </c>
      <c r="BC59" s="72">
        <f t="shared" si="93"/>
        <v>0</v>
      </c>
      <c r="BD59" s="72">
        <f t="shared" si="94"/>
        <v>0</v>
      </c>
      <c r="BE59" s="72">
        <f t="shared" si="95"/>
        <v>0</v>
      </c>
      <c r="BF59" s="72">
        <f t="shared" si="96"/>
        <v>0</v>
      </c>
    </row>
    <row r="60" spans="1:58" x14ac:dyDescent="0.25">
      <c r="A60" s="34" t="s">
        <v>156</v>
      </c>
      <c r="B60" s="1" t="e">
        <f t="shared" si="97"/>
        <v>#N/A</v>
      </c>
      <c r="C60" s="1"/>
      <c r="D60" s="1"/>
      <c r="E60" t="s">
        <v>159</v>
      </c>
      <c r="F60" s="77" t="str">
        <f>Worksheet!L18</f>
        <v>Home</v>
      </c>
      <c r="G60" s="1" t="s">
        <v>160</v>
      </c>
      <c r="H60" s="1" t="e">
        <f>Worksheet!P18</f>
        <v>#N/A</v>
      </c>
      <c r="AC60" s="1" t="e">
        <f>SUM(I60:INDEX(I60:AB60,Level))+H60</f>
        <v>#N/A</v>
      </c>
      <c r="AD60" s="45" t="e">
        <f t="shared" si="76"/>
        <v>#N/A</v>
      </c>
      <c r="AE60" s="45" cm="1">
        <f t="array" aca="1" ref="AE60" ca="1">IF(G60="NA",0,INDIRECT(LEFT(G60,2))+INDIRECT(MID(G60,4,2))+INDIRECT(RIGHT(G60,2)))</f>
        <v>0</v>
      </c>
      <c r="AF60" s="45">
        <f t="shared" si="26"/>
        <v>0</v>
      </c>
      <c r="AG60" s="45">
        <f t="shared" si="27"/>
        <v>0</v>
      </c>
      <c r="AH60" s="45"/>
      <c r="AI60" s="51" t="e">
        <f t="shared" si="28"/>
        <v>#N/A</v>
      </c>
      <c r="AM60" s="72">
        <f t="shared" si="77"/>
        <v>0</v>
      </c>
      <c r="AN60" s="72">
        <f t="shared" si="78"/>
        <v>0</v>
      </c>
      <c r="AO60" s="72">
        <f t="shared" si="79"/>
        <v>0</v>
      </c>
      <c r="AP60" s="72">
        <f t="shared" si="80"/>
        <v>0</v>
      </c>
      <c r="AQ60" s="72">
        <f t="shared" si="81"/>
        <v>0</v>
      </c>
      <c r="AR60" s="72">
        <f t="shared" si="82"/>
        <v>0</v>
      </c>
      <c r="AS60" s="72">
        <f t="shared" si="83"/>
        <v>0</v>
      </c>
      <c r="AT60" s="72">
        <f t="shared" si="84"/>
        <v>0</v>
      </c>
      <c r="AU60" s="72">
        <f t="shared" si="85"/>
        <v>0</v>
      </c>
      <c r="AV60" s="72">
        <f t="shared" si="86"/>
        <v>0</v>
      </c>
      <c r="AW60" s="72">
        <f t="shared" si="87"/>
        <v>0</v>
      </c>
      <c r="AX60" s="72">
        <f t="shared" si="88"/>
        <v>0</v>
      </c>
      <c r="AY60" s="72">
        <f t="shared" si="89"/>
        <v>0</v>
      </c>
      <c r="AZ60" s="72">
        <f t="shared" si="90"/>
        <v>0</v>
      </c>
      <c r="BA60" s="72">
        <f t="shared" si="91"/>
        <v>0</v>
      </c>
      <c r="BB60" s="72">
        <f t="shared" si="92"/>
        <v>0</v>
      </c>
      <c r="BC60" s="72">
        <f t="shared" si="93"/>
        <v>0</v>
      </c>
      <c r="BD60" s="72">
        <f t="shared" si="94"/>
        <v>0</v>
      </c>
      <c r="BE60" s="72">
        <f t="shared" si="95"/>
        <v>0</v>
      </c>
      <c r="BF60" s="72">
        <f t="shared" si="96"/>
        <v>0</v>
      </c>
    </row>
    <row r="61" spans="1:58" x14ac:dyDescent="0.25">
      <c r="A61" s="34" t="s">
        <v>156</v>
      </c>
      <c r="B61" s="1" t="e">
        <f t="shared" si="97"/>
        <v>#N/A</v>
      </c>
      <c r="C61" s="1"/>
      <c r="D61" s="1"/>
      <c r="E61" t="s">
        <v>159</v>
      </c>
      <c r="G61" s="1" t="s">
        <v>160</v>
      </c>
      <c r="H61" s="76"/>
      <c r="AC61" s="1">
        <f>SUM(I61:INDEX(I61:AB61,Level))+H61</f>
        <v>0</v>
      </c>
      <c r="AD61" s="45">
        <f t="shared" si="76"/>
        <v>-25</v>
      </c>
      <c r="AE61" s="45" cm="1">
        <f t="array" aca="1" ref="AE61" ca="1">IF(G61="NA",0,INDIRECT(LEFT(G61,2))+INDIRECT(MID(G61,4,2))+INDIRECT(RIGHT(G61,2)))</f>
        <v>0</v>
      </c>
      <c r="AF61" s="45">
        <f t="shared" si="26"/>
        <v>0</v>
      </c>
      <c r="AG61" s="45">
        <f t="shared" si="27"/>
        <v>0</v>
      </c>
      <c r="AH61" s="45"/>
      <c r="AI61" s="51">
        <f t="shared" ca="1" si="28"/>
        <v>-25</v>
      </c>
      <c r="AM61" s="72">
        <f t="shared" si="77"/>
        <v>0</v>
      </c>
      <c r="AN61" s="72">
        <f t="shared" si="78"/>
        <v>0</v>
      </c>
      <c r="AO61" s="72">
        <f t="shared" si="79"/>
        <v>0</v>
      </c>
      <c r="AP61" s="72">
        <f t="shared" si="80"/>
        <v>0</v>
      </c>
      <c r="AQ61" s="72">
        <f t="shared" si="81"/>
        <v>0</v>
      </c>
      <c r="AR61" s="72">
        <f t="shared" si="82"/>
        <v>0</v>
      </c>
      <c r="AS61" s="72">
        <f t="shared" si="83"/>
        <v>0</v>
      </c>
      <c r="AT61" s="72">
        <f t="shared" si="84"/>
        <v>0</v>
      </c>
      <c r="AU61" s="72">
        <f t="shared" si="85"/>
        <v>0</v>
      </c>
      <c r="AV61" s="72">
        <f t="shared" si="86"/>
        <v>0</v>
      </c>
      <c r="AW61" s="72">
        <f t="shared" si="87"/>
        <v>0</v>
      </c>
      <c r="AX61" s="72">
        <f t="shared" si="88"/>
        <v>0</v>
      </c>
      <c r="AY61" s="72">
        <f t="shared" si="89"/>
        <v>0</v>
      </c>
      <c r="AZ61" s="72">
        <f t="shared" si="90"/>
        <v>0</v>
      </c>
      <c r="BA61" s="72">
        <f t="shared" si="91"/>
        <v>0</v>
      </c>
      <c r="BB61" s="72">
        <f t="shared" si="92"/>
        <v>0</v>
      </c>
      <c r="BC61" s="72">
        <f t="shared" si="93"/>
        <v>0</v>
      </c>
      <c r="BD61" s="72">
        <f t="shared" si="94"/>
        <v>0</v>
      </c>
      <c r="BE61" s="72">
        <f t="shared" si="95"/>
        <v>0</v>
      </c>
      <c r="BF61" s="72">
        <f t="shared" si="96"/>
        <v>0</v>
      </c>
    </row>
    <row r="62" spans="1:58" x14ac:dyDescent="0.25">
      <c r="A62" s="34" t="s">
        <v>278</v>
      </c>
      <c r="B62" s="1" t="e">
        <f t="shared" si="97"/>
        <v>#N/A</v>
      </c>
      <c r="C62" s="1"/>
      <c r="D62" s="1"/>
      <c r="E62" t="s">
        <v>162</v>
      </c>
      <c r="F62" s="79"/>
      <c r="G62" s="1" t="s">
        <v>165</v>
      </c>
      <c r="H62" s="1" t="e">
        <f>Worksheet!P19</f>
        <v>#N/A</v>
      </c>
      <c r="AC62" s="1" t="e">
        <f>SUM(I62:INDEX(I62:AB62,Level))+H62</f>
        <v>#N/A</v>
      </c>
      <c r="AD62" s="45" t="e">
        <f t="shared" si="76"/>
        <v>#N/A</v>
      </c>
      <c r="AE62" s="45" cm="1">
        <f t="array" aca="1" ref="AE62" ca="1">IF(G62="NA",0,INDIRECT(LEFT(G62,2))+INDIRECT(MID(G62,4,2))+INDIRECT(RIGHT(G62,2)))</f>
        <v>8</v>
      </c>
      <c r="AF62" s="45">
        <f t="shared" si="26"/>
        <v>0</v>
      </c>
      <c r="AG62" s="45">
        <f t="shared" si="27"/>
        <v>0</v>
      </c>
      <c r="AH62" s="45"/>
      <c r="AI62" s="51" t="e">
        <f t="shared" si="28"/>
        <v>#N/A</v>
      </c>
      <c r="AM62" s="72">
        <f t="shared" si="77"/>
        <v>0</v>
      </c>
      <c r="AN62" s="72">
        <f t="shared" si="78"/>
        <v>0</v>
      </c>
      <c r="AO62" s="72">
        <f t="shared" si="79"/>
        <v>0</v>
      </c>
      <c r="AP62" s="72">
        <f t="shared" si="80"/>
        <v>0</v>
      </c>
      <c r="AQ62" s="72">
        <f t="shared" si="81"/>
        <v>0</v>
      </c>
      <c r="AR62" s="72">
        <f t="shared" si="82"/>
        <v>0</v>
      </c>
      <c r="AS62" s="72">
        <f t="shared" si="83"/>
        <v>0</v>
      </c>
      <c r="AT62" s="72">
        <f t="shared" si="84"/>
        <v>0</v>
      </c>
      <c r="AU62" s="72">
        <f t="shared" si="85"/>
        <v>0</v>
      </c>
      <c r="AV62" s="72">
        <f t="shared" si="86"/>
        <v>0</v>
      </c>
      <c r="AW62" s="72">
        <f t="shared" si="87"/>
        <v>0</v>
      </c>
      <c r="AX62" s="72">
        <f t="shared" si="88"/>
        <v>0</v>
      </c>
      <c r="AY62" s="72">
        <f t="shared" si="89"/>
        <v>0</v>
      </c>
      <c r="AZ62" s="72">
        <f t="shared" si="90"/>
        <v>0</v>
      </c>
      <c r="BA62" s="72">
        <f t="shared" si="91"/>
        <v>0</v>
      </c>
      <c r="BB62" s="72">
        <f t="shared" si="92"/>
        <v>0</v>
      </c>
      <c r="BC62" s="72">
        <f t="shared" si="93"/>
        <v>0</v>
      </c>
      <c r="BD62" s="72">
        <f t="shared" si="94"/>
        <v>0</v>
      </c>
      <c r="BE62" s="72">
        <f t="shared" si="95"/>
        <v>0</v>
      </c>
      <c r="BF62" s="72">
        <f t="shared" si="96"/>
        <v>0</v>
      </c>
    </row>
    <row r="63" spans="1:58" x14ac:dyDescent="0.25">
      <c r="A63" s="34" t="s">
        <v>278</v>
      </c>
      <c r="B63" s="1" t="e">
        <f t="shared" si="97"/>
        <v>#N/A</v>
      </c>
      <c r="C63" s="1"/>
      <c r="D63" s="1"/>
      <c r="E63" t="s">
        <v>163</v>
      </c>
      <c r="F63" s="79"/>
      <c r="G63" s="1" t="s">
        <v>166</v>
      </c>
      <c r="H63" s="76"/>
      <c r="AC63" s="1">
        <f>SUM(I63:INDEX(I63:AB63,Level))+H63</f>
        <v>0</v>
      </c>
      <c r="AD63" s="45">
        <f t="shared" si="76"/>
        <v>-25</v>
      </c>
      <c r="AE63" s="45" cm="1">
        <f t="array" aca="1" ref="AE63" ca="1">IF(G63="NA",0,INDIRECT(LEFT(G63,2))+INDIRECT(MID(G63,4,2))+INDIRECT(RIGHT(G63,2)))</f>
        <v>0</v>
      </c>
      <c r="AF63" s="45">
        <f t="shared" si="26"/>
        <v>0</v>
      </c>
      <c r="AG63" s="45">
        <f t="shared" si="27"/>
        <v>0</v>
      </c>
      <c r="AH63" s="45"/>
      <c r="AI63" s="51">
        <f t="shared" ca="1" si="28"/>
        <v>-25</v>
      </c>
      <c r="AM63" s="72">
        <f t="shared" si="77"/>
        <v>0</v>
      </c>
      <c r="AN63" s="72">
        <f t="shared" si="78"/>
        <v>0</v>
      </c>
      <c r="AO63" s="72">
        <f t="shared" si="79"/>
        <v>0</v>
      </c>
      <c r="AP63" s="72">
        <f t="shared" si="80"/>
        <v>0</v>
      </c>
      <c r="AQ63" s="72">
        <f t="shared" si="81"/>
        <v>0</v>
      </c>
      <c r="AR63" s="72">
        <f t="shared" si="82"/>
        <v>0</v>
      </c>
      <c r="AS63" s="72">
        <f t="shared" si="83"/>
        <v>0</v>
      </c>
      <c r="AT63" s="72">
        <f t="shared" si="84"/>
        <v>0</v>
      </c>
      <c r="AU63" s="72">
        <f t="shared" si="85"/>
        <v>0</v>
      </c>
      <c r="AV63" s="72">
        <f t="shared" si="86"/>
        <v>0</v>
      </c>
      <c r="AW63" s="72">
        <f t="shared" si="87"/>
        <v>0</v>
      </c>
      <c r="AX63" s="72">
        <f t="shared" si="88"/>
        <v>0</v>
      </c>
      <c r="AY63" s="72">
        <f t="shared" si="89"/>
        <v>0</v>
      </c>
      <c r="AZ63" s="72">
        <f t="shared" si="90"/>
        <v>0</v>
      </c>
      <c r="BA63" s="72">
        <f t="shared" si="91"/>
        <v>0</v>
      </c>
      <c r="BB63" s="72">
        <f t="shared" si="92"/>
        <v>0</v>
      </c>
      <c r="BC63" s="72">
        <f t="shared" si="93"/>
        <v>0</v>
      </c>
      <c r="BD63" s="72">
        <f t="shared" si="94"/>
        <v>0</v>
      </c>
      <c r="BE63" s="72">
        <f t="shared" si="95"/>
        <v>0</v>
      </c>
      <c r="BF63" s="72">
        <f t="shared" si="96"/>
        <v>0</v>
      </c>
    </row>
    <row r="64" spans="1:58" x14ac:dyDescent="0.25">
      <c r="A64" s="34" t="s">
        <v>278</v>
      </c>
      <c r="B64" s="1" t="e">
        <f t="shared" si="97"/>
        <v>#N/A</v>
      </c>
      <c r="C64" s="1"/>
      <c r="D64" s="1"/>
      <c r="E64" t="s">
        <v>164</v>
      </c>
      <c r="F64" s="79"/>
      <c r="G64" s="1" t="s">
        <v>165</v>
      </c>
      <c r="H64" s="1" t="e">
        <f>Worksheet!P20</f>
        <v>#N/A</v>
      </c>
      <c r="AC64" s="1" t="e">
        <f>SUM(I64:INDEX(I64:AB64,Level))+H64</f>
        <v>#N/A</v>
      </c>
      <c r="AD64" s="45" t="e">
        <f t="shared" si="76"/>
        <v>#N/A</v>
      </c>
      <c r="AE64" s="45" cm="1">
        <f t="array" aca="1" ref="AE64" ca="1">IF(G64="NA",0,INDIRECT(LEFT(G64,2))+INDIRECT(MID(G64,4,2))+INDIRECT(RIGHT(G64,2)))</f>
        <v>8</v>
      </c>
      <c r="AF64" s="45">
        <f t="shared" si="26"/>
        <v>0</v>
      </c>
      <c r="AG64" s="45">
        <f t="shared" si="27"/>
        <v>0</v>
      </c>
      <c r="AH64" s="45"/>
      <c r="AI64" s="51" t="e">
        <f t="shared" si="28"/>
        <v>#N/A</v>
      </c>
      <c r="AM64" s="72">
        <f t="shared" si="77"/>
        <v>0</v>
      </c>
      <c r="AN64" s="72">
        <f t="shared" si="78"/>
        <v>0</v>
      </c>
      <c r="AO64" s="72">
        <f t="shared" si="79"/>
        <v>0</v>
      </c>
      <c r="AP64" s="72">
        <f t="shared" si="80"/>
        <v>0</v>
      </c>
      <c r="AQ64" s="72">
        <f t="shared" si="81"/>
        <v>0</v>
      </c>
      <c r="AR64" s="72">
        <f t="shared" si="82"/>
        <v>0</v>
      </c>
      <c r="AS64" s="72">
        <f t="shared" si="83"/>
        <v>0</v>
      </c>
      <c r="AT64" s="72">
        <f t="shared" si="84"/>
        <v>0</v>
      </c>
      <c r="AU64" s="72">
        <f t="shared" si="85"/>
        <v>0</v>
      </c>
      <c r="AV64" s="72">
        <f t="shared" si="86"/>
        <v>0</v>
      </c>
      <c r="AW64" s="72">
        <f t="shared" si="87"/>
        <v>0</v>
      </c>
      <c r="AX64" s="72">
        <f t="shared" si="88"/>
        <v>0</v>
      </c>
      <c r="AY64" s="72">
        <f t="shared" si="89"/>
        <v>0</v>
      </c>
      <c r="AZ64" s="72">
        <f t="shared" si="90"/>
        <v>0</v>
      </c>
      <c r="BA64" s="72">
        <f t="shared" si="91"/>
        <v>0</v>
      </c>
      <c r="BB64" s="72">
        <f t="shared" si="92"/>
        <v>0</v>
      </c>
      <c r="BC64" s="72">
        <f t="shared" si="93"/>
        <v>0</v>
      </c>
      <c r="BD64" s="72">
        <f t="shared" si="94"/>
        <v>0</v>
      </c>
      <c r="BE64" s="72">
        <f t="shared" si="95"/>
        <v>0</v>
      </c>
      <c r="BF64" s="72">
        <f t="shared" si="96"/>
        <v>0</v>
      </c>
    </row>
    <row r="65" spans="1:58" x14ac:dyDescent="0.25">
      <c r="A65" s="34" t="s">
        <v>167</v>
      </c>
      <c r="B65" s="1" t="e">
        <f t="shared" si="97"/>
        <v>#N/A</v>
      </c>
      <c r="C65" s="1"/>
      <c r="D65" s="1"/>
      <c r="E65" t="s">
        <v>168</v>
      </c>
      <c r="F65" s="79"/>
      <c r="G65" s="1" t="s">
        <v>175</v>
      </c>
      <c r="H65" s="1">
        <f>Worksheet!P61</f>
        <v>0</v>
      </c>
      <c r="AC65" s="1">
        <f>SUM(I65:INDEX(I65:AB65,Level))+H65</f>
        <v>0</v>
      </c>
      <c r="AD65" s="45">
        <f t="shared" si="76"/>
        <v>-25</v>
      </c>
      <c r="AE65" s="45" cm="1">
        <f t="array" aca="1" ref="AE65" ca="1">IF(G65="NA",0,INDIRECT(LEFT(G65,2))+INDIRECT(MID(G65,4,2))+INDIRECT(RIGHT(G65,2)))</f>
        <v>0</v>
      </c>
      <c r="AF65" s="45">
        <f t="shared" si="26"/>
        <v>0</v>
      </c>
      <c r="AG65" s="45">
        <f t="shared" si="27"/>
        <v>0</v>
      </c>
      <c r="AH65" s="45"/>
      <c r="AI65" s="51">
        <f t="shared" ca="1" si="28"/>
        <v>-25</v>
      </c>
      <c r="AM65" s="72">
        <f t="shared" si="77"/>
        <v>0</v>
      </c>
      <c r="AN65" s="72">
        <f t="shared" si="78"/>
        <v>0</v>
      </c>
      <c r="AO65" s="72">
        <f t="shared" si="79"/>
        <v>0</v>
      </c>
      <c r="AP65" s="72">
        <f t="shared" si="80"/>
        <v>0</v>
      </c>
      <c r="AQ65" s="72">
        <f t="shared" si="81"/>
        <v>0</v>
      </c>
      <c r="AR65" s="72">
        <f t="shared" si="82"/>
        <v>0</v>
      </c>
      <c r="AS65" s="72">
        <f t="shared" si="83"/>
        <v>0</v>
      </c>
      <c r="AT65" s="72">
        <f t="shared" si="84"/>
        <v>0</v>
      </c>
      <c r="AU65" s="72">
        <f t="shared" si="85"/>
        <v>0</v>
      </c>
      <c r="AV65" s="72">
        <f t="shared" si="86"/>
        <v>0</v>
      </c>
      <c r="AW65" s="72">
        <f t="shared" si="87"/>
        <v>0</v>
      </c>
      <c r="AX65" s="72">
        <f t="shared" si="88"/>
        <v>0</v>
      </c>
      <c r="AY65" s="72">
        <f t="shared" si="89"/>
        <v>0</v>
      </c>
      <c r="AZ65" s="72">
        <f t="shared" si="90"/>
        <v>0</v>
      </c>
      <c r="BA65" s="72">
        <f t="shared" si="91"/>
        <v>0</v>
      </c>
      <c r="BB65" s="72">
        <f t="shared" si="92"/>
        <v>0</v>
      </c>
      <c r="BC65" s="72">
        <f t="shared" si="93"/>
        <v>0</v>
      </c>
      <c r="BD65" s="72">
        <f t="shared" si="94"/>
        <v>0</v>
      </c>
      <c r="BE65" s="72">
        <f t="shared" si="95"/>
        <v>0</v>
      </c>
      <c r="BF65" s="72">
        <f t="shared" si="96"/>
        <v>0</v>
      </c>
    </row>
    <row r="66" spans="1:58" x14ac:dyDescent="0.25">
      <c r="A66" s="34" t="s">
        <v>167</v>
      </c>
      <c r="B66" s="1" t="e">
        <f t="shared" si="97"/>
        <v>#N/A</v>
      </c>
      <c r="C66" s="1"/>
      <c r="D66" s="1"/>
      <c r="E66" t="s">
        <v>169</v>
      </c>
      <c r="F66" s="79"/>
      <c r="G66" s="1" t="s">
        <v>175</v>
      </c>
      <c r="H66" s="1">
        <f>Worksheet!P62</f>
        <v>0</v>
      </c>
      <c r="AC66" s="1">
        <f>SUM(I66:INDEX(I66:AB66,Level))+H66</f>
        <v>0</v>
      </c>
      <c r="AD66" s="45">
        <f t="shared" si="76"/>
        <v>-25</v>
      </c>
      <c r="AE66" s="45" cm="1">
        <f t="array" aca="1" ref="AE66" ca="1">IF(G66="NA",0,INDIRECT(LEFT(G66,2))+INDIRECT(MID(G66,4,2))+INDIRECT(RIGHT(G66,2)))</f>
        <v>0</v>
      </c>
      <c r="AF66" s="45">
        <f t="shared" si="26"/>
        <v>0</v>
      </c>
      <c r="AG66" s="45">
        <f t="shared" si="27"/>
        <v>0</v>
      </c>
      <c r="AH66" s="45"/>
      <c r="AI66" s="51">
        <f t="shared" ca="1" si="28"/>
        <v>-25</v>
      </c>
      <c r="AM66" s="72">
        <f t="shared" si="77"/>
        <v>0</v>
      </c>
      <c r="AN66" s="72">
        <f t="shared" si="78"/>
        <v>0</v>
      </c>
      <c r="AO66" s="72">
        <f t="shared" si="79"/>
        <v>0</v>
      </c>
      <c r="AP66" s="72">
        <f t="shared" si="80"/>
        <v>0</v>
      </c>
      <c r="AQ66" s="72">
        <f t="shared" si="81"/>
        <v>0</v>
      </c>
      <c r="AR66" s="72">
        <f t="shared" si="82"/>
        <v>0</v>
      </c>
      <c r="AS66" s="72">
        <f t="shared" si="83"/>
        <v>0</v>
      </c>
      <c r="AT66" s="72">
        <f t="shared" si="84"/>
        <v>0</v>
      </c>
      <c r="AU66" s="72">
        <f t="shared" si="85"/>
        <v>0</v>
      </c>
      <c r="AV66" s="72">
        <f t="shared" si="86"/>
        <v>0</v>
      </c>
      <c r="AW66" s="72">
        <f t="shared" si="87"/>
        <v>0</v>
      </c>
      <c r="AX66" s="72">
        <f t="shared" si="88"/>
        <v>0</v>
      </c>
      <c r="AY66" s="72">
        <f t="shared" si="89"/>
        <v>0</v>
      </c>
      <c r="AZ66" s="72">
        <f t="shared" si="90"/>
        <v>0</v>
      </c>
      <c r="BA66" s="72">
        <f t="shared" si="91"/>
        <v>0</v>
      </c>
      <c r="BB66" s="72">
        <f t="shared" si="92"/>
        <v>0</v>
      </c>
      <c r="BC66" s="72">
        <f t="shared" si="93"/>
        <v>0</v>
      </c>
      <c r="BD66" s="72">
        <f t="shared" si="94"/>
        <v>0</v>
      </c>
      <c r="BE66" s="72">
        <f t="shared" si="95"/>
        <v>0</v>
      </c>
      <c r="BF66" s="72">
        <f t="shared" si="96"/>
        <v>0</v>
      </c>
    </row>
    <row r="67" spans="1:58" x14ac:dyDescent="0.25">
      <c r="A67" s="34" t="s">
        <v>167</v>
      </c>
      <c r="B67" s="1" t="e">
        <f t="shared" si="97"/>
        <v>#N/A</v>
      </c>
      <c r="C67" s="1"/>
      <c r="D67" s="1"/>
      <c r="E67" t="s">
        <v>170</v>
      </c>
      <c r="F67" s="79"/>
      <c r="G67" s="1" t="s">
        <v>175</v>
      </c>
      <c r="H67" s="1">
        <f>Worksheet!P63</f>
        <v>0</v>
      </c>
      <c r="AC67" s="1">
        <f>SUM(I67:INDEX(I67:AB67,Level))+H67</f>
        <v>0</v>
      </c>
      <c r="AD67" s="45">
        <f t="shared" si="76"/>
        <v>-25</v>
      </c>
      <c r="AE67" s="45" cm="1">
        <f t="array" aca="1" ref="AE67" ca="1">IF(G67="NA",0,INDIRECT(LEFT(G67,2))+INDIRECT(MID(G67,4,2))+INDIRECT(RIGHT(G67,2)))</f>
        <v>0</v>
      </c>
      <c r="AF67" s="45">
        <f t="shared" si="26"/>
        <v>0</v>
      </c>
      <c r="AG67" s="45">
        <f t="shared" si="27"/>
        <v>0</v>
      </c>
      <c r="AH67" s="45"/>
      <c r="AI67" s="51">
        <f t="shared" ca="1" si="28"/>
        <v>-25</v>
      </c>
      <c r="AM67" s="72">
        <f t="shared" si="77"/>
        <v>0</v>
      </c>
      <c r="AN67" s="72">
        <f t="shared" si="78"/>
        <v>0</v>
      </c>
      <c r="AO67" s="72">
        <f t="shared" si="79"/>
        <v>0</v>
      </c>
      <c r="AP67" s="72">
        <f t="shared" si="80"/>
        <v>0</v>
      </c>
      <c r="AQ67" s="72">
        <f t="shared" si="81"/>
        <v>0</v>
      </c>
      <c r="AR67" s="72">
        <f t="shared" si="82"/>
        <v>0</v>
      </c>
      <c r="AS67" s="72">
        <f t="shared" si="83"/>
        <v>0</v>
      </c>
      <c r="AT67" s="72">
        <f t="shared" si="84"/>
        <v>0</v>
      </c>
      <c r="AU67" s="72">
        <f t="shared" si="85"/>
        <v>0</v>
      </c>
      <c r="AV67" s="72">
        <f t="shared" si="86"/>
        <v>0</v>
      </c>
      <c r="AW67" s="72">
        <f t="shared" si="87"/>
        <v>0</v>
      </c>
      <c r="AX67" s="72">
        <f t="shared" si="88"/>
        <v>0</v>
      </c>
      <c r="AY67" s="72">
        <f t="shared" si="89"/>
        <v>0</v>
      </c>
      <c r="AZ67" s="72">
        <f t="shared" si="90"/>
        <v>0</v>
      </c>
      <c r="BA67" s="72">
        <f t="shared" si="91"/>
        <v>0</v>
      </c>
      <c r="BB67" s="72">
        <f t="shared" si="92"/>
        <v>0</v>
      </c>
      <c r="BC67" s="72">
        <f t="shared" si="93"/>
        <v>0</v>
      </c>
      <c r="BD67" s="72">
        <f t="shared" si="94"/>
        <v>0</v>
      </c>
      <c r="BE67" s="72">
        <f t="shared" si="95"/>
        <v>0</v>
      </c>
      <c r="BF67" s="72">
        <f t="shared" si="96"/>
        <v>0</v>
      </c>
    </row>
    <row r="68" spans="1:58" x14ac:dyDescent="0.25">
      <c r="A68" s="34" t="s">
        <v>167</v>
      </c>
      <c r="B68" s="1" t="e">
        <f t="shared" si="97"/>
        <v>#N/A</v>
      </c>
      <c r="C68" s="1"/>
      <c r="D68" s="1"/>
      <c r="E68" t="s">
        <v>171</v>
      </c>
      <c r="F68" s="77">
        <f>Worksheet!L64</f>
        <v>0</v>
      </c>
      <c r="G68" s="1" t="s">
        <v>175</v>
      </c>
      <c r="H68" s="1">
        <f>Worksheet!P64</f>
        <v>0</v>
      </c>
      <c r="AC68" s="1">
        <f>SUM(I68:INDEX(I68:AB68,Level))+H68</f>
        <v>0</v>
      </c>
      <c r="AD68" s="45">
        <f t="shared" si="76"/>
        <v>-25</v>
      </c>
      <c r="AE68" s="45" cm="1">
        <f t="array" aca="1" ref="AE68" ca="1">IF(G68="NA",0,INDIRECT(LEFT(G68,2))+INDIRECT(MID(G68,4,2))+INDIRECT(RIGHT(G68,2)))</f>
        <v>0</v>
      </c>
      <c r="AF68" s="45">
        <f t="shared" si="26"/>
        <v>0</v>
      </c>
      <c r="AG68" s="45">
        <f t="shared" si="27"/>
        <v>0</v>
      </c>
      <c r="AH68" s="45"/>
      <c r="AI68" s="51">
        <f t="shared" ca="1" si="28"/>
        <v>-25</v>
      </c>
      <c r="AM68" s="72">
        <f t="shared" si="77"/>
        <v>0</v>
      </c>
      <c r="AN68" s="72">
        <f t="shared" si="78"/>
        <v>0</v>
      </c>
      <c r="AO68" s="72">
        <f t="shared" si="79"/>
        <v>0</v>
      </c>
      <c r="AP68" s="72">
        <f t="shared" si="80"/>
        <v>0</v>
      </c>
      <c r="AQ68" s="72">
        <f t="shared" si="81"/>
        <v>0</v>
      </c>
      <c r="AR68" s="72">
        <f t="shared" si="82"/>
        <v>0</v>
      </c>
      <c r="AS68" s="72">
        <f t="shared" si="83"/>
        <v>0</v>
      </c>
      <c r="AT68" s="72">
        <f t="shared" si="84"/>
        <v>0</v>
      </c>
      <c r="AU68" s="72">
        <f t="shared" si="85"/>
        <v>0</v>
      </c>
      <c r="AV68" s="72">
        <f t="shared" si="86"/>
        <v>0</v>
      </c>
      <c r="AW68" s="72">
        <f t="shared" si="87"/>
        <v>0</v>
      </c>
      <c r="AX68" s="72">
        <f t="shared" si="88"/>
        <v>0</v>
      </c>
      <c r="AY68" s="72">
        <f t="shared" si="89"/>
        <v>0</v>
      </c>
      <c r="AZ68" s="72">
        <f t="shared" si="90"/>
        <v>0</v>
      </c>
      <c r="BA68" s="72">
        <f t="shared" si="91"/>
        <v>0</v>
      </c>
      <c r="BB68" s="72">
        <f t="shared" si="92"/>
        <v>0</v>
      </c>
      <c r="BC68" s="72">
        <f t="shared" si="93"/>
        <v>0</v>
      </c>
      <c r="BD68" s="72">
        <f t="shared" si="94"/>
        <v>0</v>
      </c>
      <c r="BE68" s="72">
        <f t="shared" si="95"/>
        <v>0</v>
      </c>
      <c r="BF68" s="72">
        <f t="shared" si="96"/>
        <v>0</v>
      </c>
    </row>
    <row r="69" spans="1:58" x14ac:dyDescent="0.25">
      <c r="A69" s="34" t="s">
        <v>167</v>
      </c>
      <c r="B69" s="1" t="e">
        <f t="shared" si="97"/>
        <v>#N/A</v>
      </c>
      <c r="C69" s="1"/>
      <c r="D69" s="1"/>
      <c r="E69" t="s">
        <v>171</v>
      </c>
      <c r="F69" s="77">
        <f>Worksheet!L65</f>
        <v>0</v>
      </c>
      <c r="G69" s="1" t="s">
        <v>175</v>
      </c>
      <c r="H69" s="1">
        <f>Worksheet!P65</f>
        <v>0</v>
      </c>
      <c r="AC69" s="1">
        <f>SUM(I69:INDEX(I69:AB69,Level))+H69</f>
        <v>0</v>
      </c>
      <c r="AD69" s="45">
        <f t="shared" si="76"/>
        <v>-25</v>
      </c>
      <c r="AE69" s="45" cm="1">
        <f t="array" aca="1" ref="AE69" ca="1">IF(G69="NA",0,INDIRECT(LEFT(G69,2))+INDIRECT(MID(G69,4,2))+INDIRECT(RIGHT(G69,2)))</f>
        <v>0</v>
      </c>
      <c r="AF69" s="45">
        <f t="shared" si="26"/>
        <v>0</v>
      </c>
      <c r="AG69" s="45">
        <f t="shared" si="27"/>
        <v>0</v>
      </c>
      <c r="AH69" s="45"/>
      <c r="AI69" s="51">
        <f t="shared" ca="1" si="28"/>
        <v>-25</v>
      </c>
      <c r="AM69" s="72">
        <f t="shared" si="77"/>
        <v>0</v>
      </c>
      <c r="AN69" s="72">
        <f t="shared" si="78"/>
        <v>0</v>
      </c>
      <c r="AO69" s="72">
        <f t="shared" si="79"/>
        <v>0</v>
      </c>
      <c r="AP69" s="72">
        <f t="shared" si="80"/>
        <v>0</v>
      </c>
      <c r="AQ69" s="72">
        <f t="shared" si="81"/>
        <v>0</v>
      </c>
      <c r="AR69" s="72">
        <f t="shared" si="82"/>
        <v>0</v>
      </c>
      <c r="AS69" s="72">
        <f t="shared" si="83"/>
        <v>0</v>
      </c>
      <c r="AT69" s="72">
        <f t="shared" si="84"/>
        <v>0</v>
      </c>
      <c r="AU69" s="72">
        <f t="shared" si="85"/>
        <v>0</v>
      </c>
      <c r="AV69" s="72">
        <f t="shared" si="86"/>
        <v>0</v>
      </c>
      <c r="AW69" s="72">
        <f t="shared" si="87"/>
        <v>0</v>
      </c>
      <c r="AX69" s="72">
        <f t="shared" si="88"/>
        <v>0</v>
      </c>
      <c r="AY69" s="72">
        <f t="shared" si="89"/>
        <v>0</v>
      </c>
      <c r="AZ69" s="72">
        <f t="shared" si="90"/>
        <v>0</v>
      </c>
      <c r="BA69" s="72">
        <f t="shared" si="91"/>
        <v>0</v>
      </c>
      <c r="BB69" s="72">
        <f t="shared" si="92"/>
        <v>0</v>
      </c>
      <c r="BC69" s="72">
        <f t="shared" si="93"/>
        <v>0</v>
      </c>
      <c r="BD69" s="72">
        <f t="shared" si="94"/>
        <v>0</v>
      </c>
      <c r="BE69" s="72">
        <f t="shared" si="95"/>
        <v>0</v>
      </c>
      <c r="BF69" s="72">
        <f t="shared" si="96"/>
        <v>0</v>
      </c>
    </row>
    <row r="70" spans="1:58" x14ac:dyDescent="0.25">
      <c r="A70" s="34" t="s">
        <v>167</v>
      </c>
      <c r="B70" s="1" t="e">
        <f t="shared" si="97"/>
        <v>#N/A</v>
      </c>
      <c r="C70" s="1"/>
      <c r="D70" s="1"/>
      <c r="E70" t="s">
        <v>172</v>
      </c>
      <c r="F70" s="77" t="str">
        <f>Worksheet!L26</f>
        <v>Home</v>
      </c>
      <c r="G70" s="1" t="s">
        <v>175</v>
      </c>
      <c r="H70" s="1" t="e">
        <f>Worksheet!P26</f>
        <v>#N/A</v>
      </c>
      <c r="AC70" s="1" t="e">
        <f>SUM(I70:INDEX(I70:AB70,Level))+H70</f>
        <v>#N/A</v>
      </c>
      <c r="AD70" s="45" t="e">
        <f t="shared" si="76"/>
        <v>#N/A</v>
      </c>
      <c r="AE70" s="45" cm="1">
        <f t="array" aca="1" ref="AE70" ca="1">IF(G70="NA",0,INDIRECT(LEFT(G70,2))+INDIRECT(MID(G70,4,2))+INDIRECT(RIGHT(G70,2)))</f>
        <v>0</v>
      </c>
      <c r="AF70" s="45">
        <f t="shared" si="26"/>
        <v>0</v>
      </c>
      <c r="AG70" s="45">
        <f t="shared" si="27"/>
        <v>0</v>
      </c>
      <c r="AH70" s="45"/>
      <c r="AI70" s="51" t="e">
        <f t="shared" si="28"/>
        <v>#N/A</v>
      </c>
      <c r="AM70" s="72">
        <f t="shared" si="77"/>
        <v>0</v>
      </c>
      <c r="AN70" s="72">
        <f t="shared" si="78"/>
        <v>0</v>
      </c>
      <c r="AO70" s="72">
        <f t="shared" si="79"/>
        <v>0</v>
      </c>
      <c r="AP70" s="72">
        <f t="shared" si="80"/>
        <v>0</v>
      </c>
      <c r="AQ70" s="72">
        <f t="shared" si="81"/>
        <v>0</v>
      </c>
      <c r="AR70" s="72">
        <f t="shared" si="82"/>
        <v>0</v>
      </c>
      <c r="AS70" s="72">
        <f t="shared" si="83"/>
        <v>0</v>
      </c>
      <c r="AT70" s="72">
        <f t="shared" si="84"/>
        <v>0</v>
      </c>
      <c r="AU70" s="72">
        <f t="shared" si="85"/>
        <v>0</v>
      </c>
      <c r="AV70" s="72">
        <f t="shared" si="86"/>
        <v>0</v>
      </c>
      <c r="AW70" s="72">
        <f t="shared" si="87"/>
        <v>0</v>
      </c>
      <c r="AX70" s="72">
        <f t="shared" si="88"/>
        <v>0</v>
      </c>
      <c r="AY70" s="72">
        <f t="shared" si="89"/>
        <v>0</v>
      </c>
      <c r="AZ70" s="72">
        <f t="shared" si="90"/>
        <v>0</v>
      </c>
      <c r="BA70" s="72">
        <f t="shared" si="91"/>
        <v>0</v>
      </c>
      <c r="BB70" s="72">
        <f t="shared" si="92"/>
        <v>0</v>
      </c>
      <c r="BC70" s="72">
        <f t="shared" si="93"/>
        <v>0</v>
      </c>
      <c r="BD70" s="72">
        <f t="shared" si="94"/>
        <v>0</v>
      </c>
      <c r="BE70" s="72">
        <f t="shared" si="95"/>
        <v>0</v>
      </c>
      <c r="BF70" s="72">
        <f t="shared" si="96"/>
        <v>0</v>
      </c>
    </row>
    <row r="71" spans="1:58" x14ac:dyDescent="0.25">
      <c r="A71" s="34" t="s">
        <v>167</v>
      </c>
      <c r="B71" s="1" t="e">
        <f t="shared" si="97"/>
        <v>#N/A</v>
      </c>
      <c r="C71" s="1"/>
      <c r="D71" s="1"/>
      <c r="E71" t="s">
        <v>172</v>
      </c>
      <c r="F71" s="77" t="str">
        <f>Worksheet!L27</f>
        <v>Neighbor</v>
      </c>
      <c r="G71" s="1" t="s">
        <v>175</v>
      </c>
      <c r="H71" s="1" t="e">
        <f>Worksheet!P27</f>
        <v>#N/A</v>
      </c>
      <c r="AC71" s="1" t="e">
        <f>SUM(I71:INDEX(I71:AB71,Level))+H71</f>
        <v>#N/A</v>
      </c>
      <c r="AD71" s="45" t="e">
        <f t="shared" si="76"/>
        <v>#N/A</v>
      </c>
      <c r="AE71" s="45" cm="1">
        <f t="array" aca="1" ref="AE71" ca="1">IF(G71="NA",0,INDIRECT(LEFT(G71,2))+INDIRECT(MID(G71,4,2))+INDIRECT(RIGHT(G71,2)))</f>
        <v>0</v>
      </c>
      <c r="AF71" s="45">
        <f t="shared" si="26"/>
        <v>0</v>
      </c>
      <c r="AG71" s="45">
        <f t="shared" si="27"/>
        <v>0</v>
      </c>
      <c r="AH71" s="45"/>
      <c r="AI71" s="51" t="e">
        <f t="shared" ref="AI71:AI138" si="98">SUM(AD71:AH71)</f>
        <v>#N/A</v>
      </c>
      <c r="AM71" s="72">
        <f t="shared" si="77"/>
        <v>0</v>
      </c>
      <c r="AN71" s="72">
        <f t="shared" si="78"/>
        <v>0</v>
      </c>
      <c r="AO71" s="72">
        <f t="shared" si="79"/>
        <v>0</v>
      </c>
      <c r="AP71" s="72">
        <f t="shared" si="80"/>
        <v>0</v>
      </c>
      <c r="AQ71" s="72">
        <f t="shared" si="81"/>
        <v>0</v>
      </c>
      <c r="AR71" s="72">
        <f t="shared" si="82"/>
        <v>0</v>
      </c>
      <c r="AS71" s="72">
        <f t="shared" si="83"/>
        <v>0</v>
      </c>
      <c r="AT71" s="72">
        <f t="shared" si="84"/>
        <v>0</v>
      </c>
      <c r="AU71" s="72">
        <f t="shared" si="85"/>
        <v>0</v>
      </c>
      <c r="AV71" s="72">
        <f t="shared" si="86"/>
        <v>0</v>
      </c>
      <c r="AW71" s="72">
        <f t="shared" si="87"/>
        <v>0</v>
      </c>
      <c r="AX71" s="72">
        <f t="shared" si="88"/>
        <v>0</v>
      </c>
      <c r="AY71" s="72">
        <f t="shared" si="89"/>
        <v>0</v>
      </c>
      <c r="AZ71" s="72">
        <f t="shared" si="90"/>
        <v>0</v>
      </c>
      <c r="BA71" s="72">
        <f t="shared" si="91"/>
        <v>0</v>
      </c>
      <c r="BB71" s="72">
        <f t="shared" si="92"/>
        <v>0</v>
      </c>
      <c r="BC71" s="72">
        <f t="shared" si="93"/>
        <v>0</v>
      </c>
      <c r="BD71" s="72">
        <f t="shared" si="94"/>
        <v>0</v>
      </c>
      <c r="BE71" s="72">
        <f t="shared" si="95"/>
        <v>0</v>
      </c>
      <c r="BF71" s="72">
        <f t="shared" si="96"/>
        <v>0</v>
      </c>
    </row>
    <row r="72" spans="1:58" x14ac:dyDescent="0.25">
      <c r="A72" s="34" t="s">
        <v>167</v>
      </c>
      <c r="B72" s="1" t="e">
        <f t="shared" si="97"/>
        <v>#N/A</v>
      </c>
      <c r="C72" s="1"/>
      <c r="D72" s="1"/>
      <c r="E72" t="s">
        <v>173</v>
      </c>
      <c r="F72" s="79"/>
      <c r="G72" s="1" t="s">
        <v>175</v>
      </c>
      <c r="H72" s="1" t="e">
        <f>Worksheet!P21</f>
        <v>#N/A</v>
      </c>
      <c r="AC72" s="1" t="e">
        <f>SUM(I72:INDEX(I72:AB72,Level))+H72</f>
        <v>#N/A</v>
      </c>
      <c r="AD72" s="45" t="e">
        <f t="shared" si="76"/>
        <v>#N/A</v>
      </c>
      <c r="AE72" s="45" cm="1">
        <f t="array" aca="1" ref="AE72" ca="1">IF(G72="NA",0,INDIRECT(LEFT(G72,2))+INDIRECT(MID(G72,4,2))+INDIRECT(RIGHT(G72,2)))</f>
        <v>0</v>
      </c>
      <c r="AF72" s="45">
        <f t="shared" si="26"/>
        <v>0</v>
      </c>
      <c r="AG72" s="45">
        <f t="shared" si="27"/>
        <v>0</v>
      </c>
      <c r="AH72" s="45"/>
      <c r="AI72" s="51" t="e">
        <f t="shared" si="98"/>
        <v>#N/A</v>
      </c>
      <c r="AM72" s="72">
        <f t="shared" si="77"/>
        <v>0</v>
      </c>
      <c r="AN72" s="72">
        <f t="shared" si="78"/>
        <v>0</v>
      </c>
      <c r="AO72" s="72">
        <f t="shared" si="79"/>
        <v>0</v>
      </c>
      <c r="AP72" s="72">
        <f t="shared" si="80"/>
        <v>0</v>
      </c>
      <c r="AQ72" s="72">
        <f t="shared" si="81"/>
        <v>0</v>
      </c>
      <c r="AR72" s="72">
        <f t="shared" si="82"/>
        <v>0</v>
      </c>
      <c r="AS72" s="72">
        <f t="shared" si="83"/>
        <v>0</v>
      </c>
      <c r="AT72" s="72">
        <f t="shared" si="84"/>
        <v>0</v>
      </c>
      <c r="AU72" s="72">
        <f t="shared" si="85"/>
        <v>0</v>
      </c>
      <c r="AV72" s="72">
        <f t="shared" si="86"/>
        <v>0</v>
      </c>
      <c r="AW72" s="72">
        <f t="shared" si="87"/>
        <v>0</v>
      </c>
      <c r="AX72" s="72">
        <f t="shared" si="88"/>
        <v>0</v>
      </c>
      <c r="AY72" s="72">
        <f t="shared" si="89"/>
        <v>0</v>
      </c>
      <c r="AZ72" s="72">
        <f t="shared" si="90"/>
        <v>0</v>
      </c>
      <c r="BA72" s="72">
        <f t="shared" si="91"/>
        <v>0</v>
      </c>
      <c r="BB72" s="72">
        <f t="shared" si="92"/>
        <v>0</v>
      </c>
      <c r="BC72" s="72">
        <f t="shared" si="93"/>
        <v>0</v>
      </c>
      <c r="BD72" s="72">
        <f t="shared" si="94"/>
        <v>0</v>
      </c>
      <c r="BE72" s="72">
        <f t="shared" si="95"/>
        <v>0</v>
      </c>
      <c r="BF72" s="72">
        <f t="shared" si="96"/>
        <v>0</v>
      </c>
    </row>
    <row r="73" spans="1:58" x14ac:dyDescent="0.25">
      <c r="A73" s="34" t="s">
        <v>167</v>
      </c>
      <c r="B73" s="1" t="e">
        <f t="shared" si="97"/>
        <v>#N/A</v>
      </c>
      <c r="C73" s="1"/>
      <c r="D73" s="1"/>
      <c r="E73" t="s">
        <v>174</v>
      </c>
      <c r="F73" s="77">
        <f>Worksheet!L66</f>
        <v>0</v>
      </c>
      <c r="G73" s="1" t="s">
        <v>175</v>
      </c>
      <c r="H73" s="1">
        <f>Worksheet!P66</f>
        <v>0</v>
      </c>
      <c r="AC73" s="1">
        <f>SUM(I73:INDEX(I73:AB73,Level))+H73</f>
        <v>0</v>
      </c>
      <c r="AD73" s="45">
        <f t="shared" si="76"/>
        <v>-25</v>
      </c>
      <c r="AE73" s="45" cm="1">
        <f t="array" aca="1" ref="AE73" ca="1">IF(G73="NA",0,INDIRECT(LEFT(G73,2))+INDIRECT(MID(G73,4,2))+INDIRECT(RIGHT(G73,2)))</f>
        <v>0</v>
      </c>
      <c r="AF73" s="45">
        <f t="shared" si="26"/>
        <v>0</v>
      </c>
      <c r="AG73" s="45">
        <f t="shared" si="27"/>
        <v>0</v>
      </c>
      <c r="AH73" s="45"/>
      <c r="AI73" s="51">
        <f t="shared" ca="1" si="98"/>
        <v>-25</v>
      </c>
      <c r="AM73" s="72">
        <f t="shared" si="77"/>
        <v>0</v>
      </c>
      <c r="AN73" s="72">
        <f t="shared" si="78"/>
        <v>0</v>
      </c>
      <c r="AO73" s="72">
        <f t="shared" si="79"/>
        <v>0</v>
      </c>
      <c r="AP73" s="72">
        <f t="shared" si="80"/>
        <v>0</v>
      </c>
      <c r="AQ73" s="72">
        <f t="shared" si="81"/>
        <v>0</v>
      </c>
      <c r="AR73" s="72">
        <f t="shared" si="82"/>
        <v>0</v>
      </c>
      <c r="AS73" s="72">
        <f t="shared" si="83"/>
        <v>0</v>
      </c>
      <c r="AT73" s="72">
        <f t="shared" si="84"/>
        <v>0</v>
      </c>
      <c r="AU73" s="72">
        <f t="shared" si="85"/>
        <v>0</v>
      </c>
      <c r="AV73" s="72">
        <f t="shared" si="86"/>
        <v>0</v>
      </c>
      <c r="AW73" s="72">
        <f t="shared" si="87"/>
        <v>0</v>
      </c>
      <c r="AX73" s="72">
        <f t="shared" si="88"/>
        <v>0</v>
      </c>
      <c r="AY73" s="72">
        <f t="shared" si="89"/>
        <v>0</v>
      </c>
      <c r="AZ73" s="72">
        <f t="shared" si="90"/>
        <v>0</v>
      </c>
      <c r="BA73" s="72">
        <f t="shared" si="91"/>
        <v>0</v>
      </c>
      <c r="BB73" s="72">
        <f t="shared" si="92"/>
        <v>0</v>
      </c>
      <c r="BC73" s="72">
        <f t="shared" si="93"/>
        <v>0</v>
      </c>
      <c r="BD73" s="72">
        <f t="shared" si="94"/>
        <v>0</v>
      </c>
      <c r="BE73" s="72">
        <f t="shared" si="95"/>
        <v>0</v>
      </c>
      <c r="BF73" s="72">
        <f t="shared" si="96"/>
        <v>0</v>
      </c>
    </row>
    <row r="74" spans="1:58" x14ac:dyDescent="0.25">
      <c r="A74" s="34" t="s">
        <v>167</v>
      </c>
      <c r="B74" s="1" t="e">
        <f t="shared" si="97"/>
        <v>#N/A</v>
      </c>
      <c r="C74" s="1"/>
      <c r="D74" s="1"/>
      <c r="E74" t="s">
        <v>174</v>
      </c>
      <c r="F74" s="77">
        <f>Worksheet!L67</f>
        <v>0</v>
      </c>
      <c r="G74" s="1" t="s">
        <v>175</v>
      </c>
      <c r="H74" s="1">
        <f>Worksheet!P67</f>
        <v>0</v>
      </c>
      <c r="AC74" s="1">
        <f>SUM(I74:INDEX(I74:AB74,Level))+H74</f>
        <v>0</v>
      </c>
      <c r="AD74" s="45">
        <f t="shared" si="76"/>
        <v>-25</v>
      </c>
      <c r="AE74" s="45" cm="1">
        <f t="array" aca="1" ref="AE74" ca="1">IF(G74="NA",0,INDIRECT(LEFT(G74,2))+INDIRECT(MID(G74,4,2))+INDIRECT(RIGHT(G74,2)))</f>
        <v>0</v>
      </c>
      <c r="AF74" s="45">
        <f t="shared" si="26"/>
        <v>0</v>
      </c>
      <c r="AG74" s="45">
        <f t="shared" si="27"/>
        <v>0</v>
      </c>
      <c r="AH74" s="45"/>
      <c r="AI74" s="51">
        <f t="shared" ca="1" si="98"/>
        <v>-25</v>
      </c>
      <c r="AM74" s="72">
        <f t="shared" si="77"/>
        <v>0</v>
      </c>
      <c r="AN74" s="72">
        <f t="shared" si="78"/>
        <v>0</v>
      </c>
      <c r="AO74" s="72">
        <f t="shared" si="79"/>
        <v>0</v>
      </c>
      <c r="AP74" s="72">
        <f t="shared" si="80"/>
        <v>0</v>
      </c>
      <c r="AQ74" s="72">
        <f t="shared" si="81"/>
        <v>0</v>
      </c>
      <c r="AR74" s="72">
        <f t="shared" si="82"/>
        <v>0</v>
      </c>
      <c r="AS74" s="72">
        <f t="shared" si="83"/>
        <v>0</v>
      </c>
      <c r="AT74" s="72">
        <f t="shared" si="84"/>
        <v>0</v>
      </c>
      <c r="AU74" s="72">
        <f t="shared" si="85"/>
        <v>0</v>
      </c>
      <c r="AV74" s="72">
        <f t="shared" si="86"/>
        <v>0</v>
      </c>
      <c r="AW74" s="72">
        <f t="shared" si="87"/>
        <v>0</v>
      </c>
      <c r="AX74" s="72">
        <f t="shared" si="88"/>
        <v>0</v>
      </c>
      <c r="AY74" s="72">
        <f t="shared" si="89"/>
        <v>0</v>
      </c>
      <c r="AZ74" s="72">
        <f t="shared" si="90"/>
        <v>0</v>
      </c>
      <c r="BA74" s="72">
        <f t="shared" si="91"/>
        <v>0</v>
      </c>
      <c r="BB74" s="72">
        <f t="shared" si="92"/>
        <v>0</v>
      </c>
      <c r="BC74" s="72">
        <f t="shared" si="93"/>
        <v>0</v>
      </c>
      <c r="BD74" s="72">
        <f t="shared" si="94"/>
        <v>0</v>
      </c>
      <c r="BE74" s="72">
        <f t="shared" si="95"/>
        <v>0</v>
      </c>
      <c r="BF74" s="72">
        <f t="shared" si="96"/>
        <v>0</v>
      </c>
    </row>
    <row r="75" spans="1:58" x14ac:dyDescent="0.25">
      <c r="A75" s="34" t="s">
        <v>176</v>
      </c>
      <c r="B75" s="1" t="e">
        <f>B74</f>
        <v>#N/A</v>
      </c>
      <c r="C75" s="1"/>
      <c r="D75" s="1"/>
      <c r="E75" t="s">
        <v>177</v>
      </c>
      <c r="F75" s="77" t="str">
        <f>Worksheet!L53</f>
        <v>Common</v>
      </c>
      <c r="G75" s="1" t="s">
        <v>175</v>
      </c>
      <c r="H75" s="1">
        <f>Worksheet!P53</f>
        <v>0</v>
      </c>
      <c r="AC75" s="1">
        <f>SUM(I75:INDEX(I75:AB75,Level))+H75</f>
        <v>0</v>
      </c>
      <c r="AD75" s="45">
        <f t="shared" si="76"/>
        <v>-25</v>
      </c>
      <c r="AE75" s="45" cm="1">
        <f t="array" aca="1" ref="AE75" ca="1">IF(G75="NA",0,INDIRECT(LEFT(G75,2))+INDIRECT(MID(G75,4,2))+INDIRECT(RIGHT(G75,2)))</f>
        <v>0</v>
      </c>
      <c r="AF75" s="45">
        <f t="shared" si="26"/>
        <v>0</v>
      </c>
      <c r="AG75" s="45">
        <f t="shared" si="27"/>
        <v>0</v>
      </c>
      <c r="AH75" s="45"/>
      <c r="AI75" s="51">
        <f t="shared" ca="1" si="98"/>
        <v>-25</v>
      </c>
      <c r="AM75" s="72">
        <f t="shared" si="77"/>
        <v>0</v>
      </c>
      <c r="AN75" s="72">
        <f t="shared" si="78"/>
        <v>0</v>
      </c>
      <c r="AO75" s="72">
        <f t="shared" si="79"/>
        <v>0</v>
      </c>
      <c r="AP75" s="72">
        <f t="shared" si="80"/>
        <v>0</v>
      </c>
      <c r="AQ75" s="72">
        <f t="shared" si="81"/>
        <v>0</v>
      </c>
      <c r="AR75" s="72">
        <f t="shared" si="82"/>
        <v>0</v>
      </c>
      <c r="AS75" s="72">
        <f t="shared" si="83"/>
        <v>0</v>
      </c>
      <c r="AT75" s="72">
        <f t="shared" si="84"/>
        <v>0</v>
      </c>
      <c r="AU75" s="72">
        <f t="shared" si="85"/>
        <v>0</v>
      </c>
      <c r="AV75" s="72">
        <f t="shared" si="86"/>
        <v>0</v>
      </c>
      <c r="AW75" s="72">
        <f t="shared" si="87"/>
        <v>0</v>
      </c>
      <c r="AX75" s="72">
        <f t="shared" si="88"/>
        <v>0</v>
      </c>
      <c r="AY75" s="72">
        <f t="shared" si="89"/>
        <v>0</v>
      </c>
      <c r="AZ75" s="72">
        <f t="shared" si="90"/>
        <v>0</v>
      </c>
      <c r="BA75" s="72">
        <f t="shared" si="91"/>
        <v>0</v>
      </c>
      <c r="BB75" s="72">
        <f t="shared" si="92"/>
        <v>0</v>
      </c>
      <c r="BC75" s="72">
        <f t="shared" si="93"/>
        <v>0</v>
      </c>
      <c r="BD75" s="72">
        <f t="shared" si="94"/>
        <v>0</v>
      </c>
      <c r="BE75" s="72">
        <f t="shared" si="95"/>
        <v>0</v>
      </c>
      <c r="BF75" s="72">
        <f t="shared" si="96"/>
        <v>0</v>
      </c>
    </row>
    <row r="76" spans="1:58" x14ac:dyDescent="0.25">
      <c r="A76" s="34" t="s">
        <v>176</v>
      </c>
      <c r="B76" s="1" t="e">
        <f t="shared" ref="B76:B88" si="99">B75</f>
        <v>#N/A</v>
      </c>
      <c r="C76" s="1"/>
      <c r="D76" s="1"/>
      <c r="E76" t="s">
        <v>178</v>
      </c>
      <c r="F76" s="77" t="str">
        <f>Worksheet!L54</f>
        <v>Common</v>
      </c>
      <c r="G76" s="1" t="s">
        <v>175</v>
      </c>
      <c r="H76" s="1">
        <f>Worksheet!P54</f>
        <v>0</v>
      </c>
      <c r="AC76" s="1">
        <f>SUM(I76:INDEX(I76:AB76,Level))+H76</f>
        <v>0</v>
      </c>
      <c r="AD76" s="45">
        <f t="shared" si="76"/>
        <v>-25</v>
      </c>
      <c r="AE76" s="45" cm="1">
        <f t="array" aca="1" ref="AE76" ca="1">IF(G76="NA",0,INDIRECT(LEFT(G76,2))+INDIRECT(MID(G76,4,2))+INDIRECT(RIGHT(G76,2)))</f>
        <v>0</v>
      </c>
      <c r="AF76" s="45">
        <f t="shared" si="26"/>
        <v>0</v>
      </c>
      <c r="AG76" s="45">
        <f t="shared" si="27"/>
        <v>0</v>
      </c>
      <c r="AH76" s="45"/>
      <c r="AI76" s="51">
        <f t="shared" ca="1" si="98"/>
        <v>-25</v>
      </c>
      <c r="AM76" s="72">
        <f t="shared" si="77"/>
        <v>0</v>
      </c>
      <c r="AN76" s="72">
        <f t="shared" si="78"/>
        <v>0</v>
      </c>
      <c r="AO76" s="72">
        <f t="shared" si="79"/>
        <v>0</v>
      </c>
      <c r="AP76" s="72">
        <f t="shared" si="80"/>
        <v>0</v>
      </c>
      <c r="AQ76" s="72">
        <f t="shared" si="81"/>
        <v>0</v>
      </c>
      <c r="AR76" s="72">
        <f t="shared" si="82"/>
        <v>0</v>
      </c>
      <c r="AS76" s="72">
        <f t="shared" si="83"/>
        <v>0</v>
      </c>
      <c r="AT76" s="72">
        <f t="shared" si="84"/>
        <v>0</v>
      </c>
      <c r="AU76" s="72">
        <f t="shared" si="85"/>
        <v>0</v>
      </c>
      <c r="AV76" s="72">
        <f t="shared" si="86"/>
        <v>0</v>
      </c>
      <c r="AW76" s="72">
        <f t="shared" si="87"/>
        <v>0</v>
      </c>
      <c r="AX76" s="72">
        <f t="shared" si="88"/>
        <v>0</v>
      </c>
      <c r="AY76" s="72">
        <f t="shared" si="89"/>
        <v>0</v>
      </c>
      <c r="AZ76" s="72">
        <f t="shared" si="90"/>
        <v>0</v>
      </c>
      <c r="BA76" s="72">
        <f t="shared" si="91"/>
        <v>0</v>
      </c>
      <c r="BB76" s="72">
        <f t="shared" si="92"/>
        <v>0</v>
      </c>
      <c r="BC76" s="72">
        <f t="shared" si="93"/>
        <v>0</v>
      </c>
      <c r="BD76" s="72">
        <f t="shared" si="94"/>
        <v>0</v>
      </c>
      <c r="BE76" s="72">
        <f t="shared" si="95"/>
        <v>0</v>
      </c>
      <c r="BF76" s="72">
        <f t="shared" si="96"/>
        <v>0</v>
      </c>
    </row>
    <row r="77" spans="1:58" x14ac:dyDescent="0.25">
      <c r="A77" s="34" t="s">
        <v>176</v>
      </c>
      <c r="B77" s="1" t="e">
        <f t="shared" si="99"/>
        <v>#N/A</v>
      </c>
      <c r="C77" s="1"/>
      <c r="D77" s="1"/>
      <c r="E77" t="s">
        <v>177</v>
      </c>
      <c r="F77" s="77">
        <f>Worksheet!L55</f>
        <v>0</v>
      </c>
      <c r="G77" s="1" t="s">
        <v>175</v>
      </c>
      <c r="H77" s="1">
        <f>Worksheet!P55</f>
        <v>0</v>
      </c>
      <c r="AC77" s="1">
        <f>SUM(I77:INDEX(I77:AB77,Level))+H77</f>
        <v>0</v>
      </c>
      <c r="AD77" s="45">
        <f t="shared" ref="AD77:AD108" si="100">IF(AC77&gt;30,100+AC77,VLOOKUP(AC77,Rank_Bonus,2,FALSE))</f>
        <v>-25</v>
      </c>
      <c r="AE77" s="45" cm="1">
        <f t="array" aca="1" ref="AE77" ca="1">IF(G77="NA",0,INDIRECT(LEFT(G77,2))+INDIRECT(MID(G77,4,2))+INDIRECT(RIGHT(G77,2)))</f>
        <v>0</v>
      </c>
      <c r="AF77" s="45">
        <f t="shared" si="26"/>
        <v>0</v>
      </c>
      <c r="AG77" s="45">
        <f t="shared" si="27"/>
        <v>0</v>
      </c>
      <c r="AH77" s="45"/>
      <c r="AI77" s="51">
        <f t="shared" ca="1" si="98"/>
        <v>-25</v>
      </c>
      <c r="AM77" s="72">
        <f t="shared" ref="AM77:AM108" si="101">_xlfn.NUMBERVALUE(IF(I77=0,0,IF(I77=1,LEFT($B77,FIND("/",$B77)-1),SUM(LEFT($B77,FIND("/",$B77)-1),RIGHT($B77,LEN($B77)-FIND("/",$B77))))))</f>
        <v>0</v>
      </c>
      <c r="AN77" s="72">
        <f t="shared" ref="AN77:AN108" si="102">_xlfn.NUMBERVALUE(IF(J77=0,0,IF(J77=1,LEFT($B77,FIND("/",$B77)-1),SUM(LEFT($B77,FIND("/",$B77)-1),RIGHT($B77,LEN($B77)-FIND("/",$B77))))))</f>
        <v>0</v>
      </c>
      <c r="AO77" s="72">
        <f t="shared" ref="AO77:AO108" si="103">_xlfn.NUMBERVALUE(IF(K77=0,0,IF(K77=1,LEFT($B77,FIND("/",$B77)-1),SUM(LEFT($B77,FIND("/",$B77)-1),RIGHT($B77,LEN($B77)-FIND("/",$B77))))))</f>
        <v>0</v>
      </c>
      <c r="AP77" s="72">
        <f t="shared" ref="AP77:AP108" si="104">_xlfn.NUMBERVALUE(IF(L77=0,0,IF(L77=1,LEFT($B77,FIND("/",$B77)-1),SUM(LEFT($B77,FIND("/",$B77)-1),RIGHT($B77,LEN($B77)-FIND("/",$B77))))))</f>
        <v>0</v>
      </c>
      <c r="AQ77" s="72">
        <f t="shared" ref="AQ77:AQ108" si="105">_xlfn.NUMBERVALUE(IF(M77=0,0,IF(M77=1,LEFT($B77,FIND("/",$B77)-1),SUM(LEFT($B77,FIND("/",$B77)-1),RIGHT($B77,LEN($B77)-FIND("/",$B77))))))</f>
        <v>0</v>
      </c>
      <c r="AR77" s="72">
        <f t="shared" ref="AR77:AR108" si="106">_xlfn.NUMBERVALUE(IF(N77=0,0,IF(N77=1,LEFT($B77,FIND("/",$B77)-1),SUM(LEFT($B77,FIND("/",$B77)-1),RIGHT($B77,LEN($B77)-FIND("/",$B77))))))</f>
        <v>0</v>
      </c>
      <c r="AS77" s="72">
        <f t="shared" ref="AS77:AS108" si="107">_xlfn.NUMBERVALUE(IF(O77=0,0,IF(O77=1,LEFT($B77,FIND("/",$B77)-1),SUM(LEFT($B77,FIND("/",$B77)-1),RIGHT($B77,LEN($B77)-FIND("/",$B77))))))</f>
        <v>0</v>
      </c>
      <c r="AT77" s="72">
        <f t="shared" ref="AT77:AT108" si="108">_xlfn.NUMBERVALUE(IF(P77=0,0,IF(P77=1,LEFT($B77,FIND("/",$B77)-1),SUM(LEFT($B77,FIND("/",$B77)-1),RIGHT($B77,LEN($B77)-FIND("/",$B77))))))</f>
        <v>0</v>
      </c>
      <c r="AU77" s="72">
        <f t="shared" ref="AU77:AU108" si="109">_xlfn.NUMBERVALUE(IF(Q77=0,0,IF(Q77=1,LEFT($B77,FIND("/",$B77)-1),SUM(LEFT($B77,FIND("/",$B77)-1),RIGHT($B77,LEN($B77)-FIND("/",$B77))))))</f>
        <v>0</v>
      </c>
      <c r="AV77" s="72">
        <f t="shared" ref="AV77:AV108" si="110">_xlfn.NUMBERVALUE(IF(R77=0,0,IF(R77=1,LEFT($B77,FIND("/",$B77)-1),SUM(LEFT($B77,FIND("/",$B77)-1),RIGHT($B77,LEN($B77)-FIND("/",$B77))))))</f>
        <v>0</v>
      </c>
      <c r="AW77" s="72">
        <f t="shared" ref="AW77:AW108" si="111">_xlfn.NUMBERVALUE(IF(S77=0,0,IF(S77=1,LEFT($B77,FIND("/",$B77)-1),SUM(LEFT($B77,FIND("/",$B77)-1),RIGHT($B77,LEN($B77)-FIND("/",$B77))))))</f>
        <v>0</v>
      </c>
      <c r="AX77" s="72">
        <f t="shared" ref="AX77:AX108" si="112">_xlfn.NUMBERVALUE(IF(T77=0,0,IF(T77=1,LEFT($B77,FIND("/",$B77)-1),SUM(LEFT($B77,FIND("/",$B77)-1),RIGHT($B77,LEN($B77)-FIND("/",$B77))))))</f>
        <v>0</v>
      </c>
      <c r="AY77" s="72">
        <f t="shared" ref="AY77:AY108" si="113">_xlfn.NUMBERVALUE(IF(U77=0,0,IF(U77=1,LEFT($B77,FIND("/",$B77)-1),SUM(LEFT($B77,FIND("/",$B77)-1),RIGHT($B77,LEN($B77)-FIND("/",$B77))))))</f>
        <v>0</v>
      </c>
      <c r="AZ77" s="72">
        <f t="shared" ref="AZ77:AZ108" si="114">_xlfn.NUMBERVALUE(IF(V77=0,0,IF(V77=1,LEFT($B77,FIND("/",$B77)-1),SUM(LEFT($B77,FIND("/",$B77)-1),RIGHT($B77,LEN($B77)-FIND("/",$B77))))))</f>
        <v>0</v>
      </c>
      <c r="BA77" s="72">
        <f t="shared" ref="BA77:BA108" si="115">_xlfn.NUMBERVALUE(IF(W77=0,0,IF(W77=1,LEFT($B77,FIND("/",$B77)-1),SUM(LEFT($B77,FIND("/",$B77)-1),RIGHT($B77,LEN($B77)-FIND("/",$B77))))))</f>
        <v>0</v>
      </c>
      <c r="BB77" s="72">
        <f t="shared" ref="BB77:BB108" si="116">_xlfn.NUMBERVALUE(IF(X77=0,0,IF(X77=1,LEFT($B77,FIND("/",$B77)-1),SUM(LEFT($B77,FIND("/",$B77)-1),RIGHT($B77,LEN($B77)-FIND("/",$B77))))))</f>
        <v>0</v>
      </c>
      <c r="BC77" s="72">
        <f t="shared" ref="BC77:BC108" si="117">_xlfn.NUMBERVALUE(IF(Y77=0,0,IF(Y77=1,LEFT($B77,FIND("/",$B77)-1),SUM(LEFT($B77,FIND("/",$B77)-1),RIGHT($B77,LEN($B77)-FIND("/",$B77))))))</f>
        <v>0</v>
      </c>
      <c r="BD77" s="72">
        <f t="shared" ref="BD77:BD108" si="118">_xlfn.NUMBERVALUE(IF(Z77=0,0,IF(Z77=1,LEFT($B77,FIND("/",$B77)-1),SUM(LEFT($B77,FIND("/",$B77)-1),RIGHT($B77,LEN($B77)-FIND("/",$B77))))))</f>
        <v>0</v>
      </c>
      <c r="BE77" s="72">
        <f t="shared" ref="BE77:BE108" si="119">_xlfn.NUMBERVALUE(IF(AA77=0,0,IF(AA77=1,LEFT($B77,FIND("/",$B77)-1),SUM(LEFT($B77,FIND("/",$B77)-1),RIGHT($B77,LEN($B77)-FIND("/",$B77))))))</f>
        <v>0</v>
      </c>
      <c r="BF77" s="72">
        <f t="shared" ref="BF77:BF108" si="120">_xlfn.NUMBERVALUE(IF(AB77=0,0,IF(AB77=1,LEFT($B77,FIND("/",$B77)-1),SUM(LEFT($B77,FIND("/",$B77)-1),RIGHT($B77,LEN($B77)-FIND("/",$B77))))))</f>
        <v>0</v>
      </c>
    </row>
    <row r="78" spans="1:58" x14ac:dyDescent="0.25">
      <c r="A78" s="34" t="s">
        <v>176</v>
      </c>
      <c r="B78" s="1" t="e">
        <f t="shared" si="99"/>
        <v>#N/A</v>
      </c>
      <c r="C78" s="1"/>
      <c r="D78" s="1"/>
      <c r="E78" t="s">
        <v>178</v>
      </c>
      <c r="F78" s="77">
        <f>Worksheet!L56</f>
        <v>0</v>
      </c>
      <c r="G78" s="1" t="s">
        <v>175</v>
      </c>
      <c r="H78" s="1">
        <f>Worksheet!P56</f>
        <v>0</v>
      </c>
      <c r="AC78" s="1">
        <f>SUM(I78:INDEX(I78:AB78,Level))+H78</f>
        <v>0</v>
      </c>
      <c r="AD78" s="45">
        <f t="shared" si="100"/>
        <v>-25</v>
      </c>
      <c r="AE78" s="45" cm="1">
        <f t="array" aca="1" ref="AE78" ca="1">IF(G78="NA",0,INDIRECT(LEFT(G78,2))+INDIRECT(MID(G78,4,2))+INDIRECT(RIGHT(G78,2)))</f>
        <v>0</v>
      </c>
      <c r="AF78" s="45">
        <f t="shared" ref="AF78:AF139" si="121">IF(C78="X",MIN(30,AC78),0)</f>
        <v>0</v>
      </c>
      <c r="AG78" s="45">
        <f t="shared" ref="AG78:AG139" si="122">IF(D78="X",5,0)</f>
        <v>0</v>
      </c>
      <c r="AH78" s="45"/>
      <c r="AI78" s="51">
        <f t="shared" ca="1" si="98"/>
        <v>-25</v>
      </c>
      <c r="AM78" s="72">
        <f t="shared" si="101"/>
        <v>0</v>
      </c>
      <c r="AN78" s="72">
        <f t="shared" si="102"/>
        <v>0</v>
      </c>
      <c r="AO78" s="72">
        <f t="shared" si="103"/>
        <v>0</v>
      </c>
      <c r="AP78" s="72">
        <f t="shared" si="104"/>
        <v>0</v>
      </c>
      <c r="AQ78" s="72">
        <f t="shared" si="105"/>
        <v>0</v>
      </c>
      <c r="AR78" s="72">
        <f t="shared" si="106"/>
        <v>0</v>
      </c>
      <c r="AS78" s="72">
        <f t="shared" si="107"/>
        <v>0</v>
      </c>
      <c r="AT78" s="72">
        <f t="shared" si="108"/>
        <v>0</v>
      </c>
      <c r="AU78" s="72">
        <f t="shared" si="109"/>
        <v>0</v>
      </c>
      <c r="AV78" s="72">
        <f t="shared" si="110"/>
        <v>0</v>
      </c>
      <c r="AW78" s="72">
        <f t="shared" si="111"/>
        <v>0</v>
      </c>
      <c r="AX78" s="72">
        <f t="shared" si="112"/>
        <v>0</v>
      </c>
      <c r="AY78" s="72">
        <f t="shared" si="113"/>
        <v>0</v>
      </c>
      <c r="AZ78" s="72">
        <f t="shared" si="114"/>
        <v>0</v>
      </c>
      <c r="BA78" s="72">
        <f t="shared" si="115"/>
        <v>0</v>
      </c>
      <c r="BB78" s="72">
        <f t="shared" si="116"/>
        <v>0</v>
      </c>
      <c r="BC78" s="72">
        <f t="shared" si="117"/>
        <v>0</v>
      </c>
      <c r="BD78" s="72">
        <f t="shared" si="118"/>
        <v>0</v>
      </c>
      <c r="BE78" s="72">
        <f t="shared" si="119"/>
        <v>0</v>
      </c>
      <c r="BF78" s="72">
        <f t="shared" si="120"/>
        <v>0</v>
      </c>
    </row>
    <row r="79" spans="1:58" x14ac:dyDescent="0.25">
      <c r="A79" s="34" t="s">
        <v>176</v>
      </c>
      <c r="B79" s="1" t="e">
        <f t="shared" si="99"/>
        <v>#N/A</v>
      </c>
      <c r="C79" s="1"/>
      <c r="D79" s="1"/>
      <c r="E79" t="s">
        <v>177</v>
      </c>
      <c r="F79" s="77">
        <f>Worksheet!L57</f>
        <v>0</v>
      </c>
      <c r="G79" s="1" t="s">
        <v>175</v>
      </c>
      <c r="H79" s="1">
        <f>Worksheet!P57</f>
        <v>0</v>
      </c>
      <c r="AC79" s="1">
        <f>SUM(I79:INDEX(I79:AB79,Level))+H79</f>
        <v>0</v>
      </c>
      <c r="AD79" s="45">
        <f t="shared" si="100"/>
        <v>-25</v>
      </c>
      <c r="AE79" s="45" cm="1">
        <f t="array" aca="1" ref="AE79" ca="1">IF(G79="NA",0,INDIRECT(LEFT(G79,2))+INDIRECT(MID(G79,4,2))+INDIRECT(RIGHT(G79,2)))</f>
        <v>0</v>
      </c>
      <c r="AF79" s="45">
        <f t="shared" si="121"/>
        <v>0</v>
      </c>
      <c r="AG79" s="45">
        <f t="shared" si="122"/>
        <v>0</v>
      </c>
      <c r="AH79" s="45"/>
      <c r="AI79" s="51">
        <f t="shared" ca="1" si="98"/>
        <v>-25</v>
      </c>
      <c r="AM79" s="72">
        <f t="shared" si="101"/>
        <v>0</v>
      </c>
      <c r="AN79" s="72">
        <f t="shared" si="102"/>
        <v>0</v>
      </c>
      <c r="AO79" s="72">
        <f t="shared" si="103"/>
        <v>0</v>
      </c>
      <c r="AP79" s="72">
        <f t="shared" si="104"/>
        <v>0</v>
      </c>
      <c r="AQ79" s="72">
        <f t="shared" si="105"/>
        <v>0</v>
      </c>
      <c r="AR79" s="72">
        <f t="shared" si="106"/>
        <v>0</v>
      </c>
      <c r="AS79" s="72">
        <f t="shared" si="107"/>
        <v>0</v>
      </c>
      <c r="AT79" s="72">
        <f t="shared" si="108"/>
        <v>0</v>
      </c>
      <c r="AU79" s="72">
        <f t="shared" si="109"/>
        <v>0</v>
      </c>
      <c r="AV79" s="72">
        <f t="shared" si="110"/>
        <v>0</v>
      </c>
      <c r="AW79" s="72">
        <f t="shared" si="111"/>
        <v>0</v>
      </c>
      <c r="AX79" s="72">
        <f t="shared" si="112"/>
        <v>0</v>
      </c>
      <c r="AY79" s="72">
        <f t="shared" si="113"/>
        <v>0</v>
      </c>
      <c r="AZ79" s="72">
        <f t="shared" si="114"/>
        <v>0</v>
      </c>
      <c r="BA79" s="72">
        <f t="shared" si="115"/>
        <v>0</v>
      </c>
      <c r="BB79" s="72">
        <f t="shared" si="116"/>
        <v>0</v>
      </c>
      <c r="BC79" s="72">
        <f t="shared" si="117"/>
        <v>0</v>
      </c>
      <c r="BD79" s="72">
        <f t="shared" si="118"/>
        <v>0</v>
      </c>
      <c r="BE79" s="72">
        <f t="shared" si="119"/>
        <v>0</v>
      </c>
      <c r="BF79" s="72">
        <f t="shared" si="120"/>
        <v>0</v>
      </c>
    </row>
    <row r="80" spans="1:58" x14ac:dyDescent="0.25">
      <c r="A80" s="34" t="s">
        <v>176</v>
      </c>
      <c r="B80" s="1" t="e">
        <f t="shared" si="99"/>
        <v>#N/A</v>
      </c>
      <c r="C80" s="1"/>
      <c r="D80" s="1"/>
      <c r="E80" t="s">
        <v>178</v>
      </c>
      <c r="F80" s="77">
        <f>Worksheet!L58</f>
        <v>0</v>
      </c>
      <c r="G80" s="1" t="s">
        <v>175</v>
      </c>
      <c r="H80" s="1">
        <f>Worksheet!P58</f>
        <v>0</v>
      </c>
      <c r="AC80" s="1">
        <f>SUM(I80:INDEX(I80:AB80,Level))+H80</f>
        <v>0</v>
      </c>
      <c r="AD80" s="45">
        <f t="shared" si="100"/>
        <v>-25</v>
      </c>
      <c r="AE80" s="45" cm="1">
        <f t="array" aca="1" ref="AE80" ca="1">IF(G80="NA",0,INDIRECT(LEFT(G80,2))+INDIRECT(MID(G80,4,2))+INDIRECT(RIGHT(G80,2)))</f>
        <v>0</v>
      </c>
      <c r="AF80" s="45">
        <f t="shared" si="121"/>
        <v>0</v>
      </c>
      <c r="AG80" s="45">
        <f t="shared" si="122"/>
        <v>0</v>
      </c>
      <c r="AH80" s="45"/>
      <c r="AI80" s="51">
        <f t="shared" ca="1" si="98"/>
        <v>-25</v>
      </c>
      <c r="AM80" s="72">
        <f t="shared" si="101"/>
        <v>0</v>
      </c>
      <c r="AN80" s="72">
        <f t="shared" si="102"/>
        <v>0</v>
      </c>
      <c r="AO80" s="72">
        <f t="shared" si="103"/>
        <v>0</v>
      </c>
      <c r="AP80" s="72">
        <f t="shared" si="104"/>
        <v>0</v>
      </c>
      <c r="AQ80" s="72">
        <f t="shared" si="105"/>
        <v>0</v>
      </c>
      <c r="AR80" s="72">
        <f t="shared" si="106"/>
        <v>0</v>
      </c>
      <c r="AS80" s="72">
        <f t="shared" si="107"/>
        <v>0</v>
      </c>
      <c r="AT80" s="72">
        <f t="shared" si="108"/>
        <v>0</v>
      </c>
      <c r="AU80" s="72">
        <f t="shared" si="109"/>
        <v>0</v>
      </c>
      <c r="AV80" s="72">
        <f t="shared" si="110"/>
        <v>0</v>
      </c>
      <c r="AW80" s="72">
        <f t="shared" si="111"/>
        <v>0</v>
      </c>
      <c r="AX80" s="72">
        <f t="shared" si="112"/>
        <v>0</v>
      </c>
      <c r="AY80" s="72">
        <f t="shared" si="113"/>
        <v>0</v>
      </c>
      <c r="AZ80" s="72">
        <f t="shared" si="114"/>
        <v>0</v>
      </c>
      <c r="BA80" s="72">
        <f t="shared" si="115"/>
        <v>0</v>
      </c>
      <c r="BB80" s="72">
        <f t="shared" si="116"/>
        <v>0</v>
      </c>
      <c r="BC80" s="72">
        <f t="shared" si="117"/>
        <v>0</v>
      </c>
      <c r="BD80" s="72">
        <f t="shared" si="118"/>
        <v>0</v>
      </c>
      <c r="BE80" s="72">
        <f t="shared" si="119"/>
        <v>0</v>
      </c>
      <c r="BF80" s="72">
        <f t="shared" si="120"/>
        <v>0</v>
      </c>
    </row>
    <row r="81" spans="1:58" x14ac:dyDescent="0.25">
      <c r="A81" s="34" t="s">
        <v>176</v>
      </c>
      <c r="B81" s="1" t="e">
        <f t="shared" si="99"/>
        <v>#N/A</v>
      </c>
      <c r="C81" s="1"/>
      <c r="D81" s="1"/>
      <c r="E81" t="s">
        <v>177</v>
      </c>
      <c r="F81" s="77">
        <f>Worksheet!L59</f>
        <v>0</v>
      </c>
      <c r="G81" s="1" t="s">
        <v>175</v>
      </c>
      <c r="H81" s="1">
        <f>Worksheet!P59</f>
        <v>0</v>
      </c>
      <c r="AC81" s="1">
        <f>SUM(I81:INDEX(I81:AB81,Level))+H81</f>
        <v>0</v>
      </c>
      <c r="AD81" s="45">
        <f t="shared" si="100"/>
        <v>-25</v>
      </c>
      <c r="AE81" s="45" cm="1">
        <f t="array" aca="1" ref="AE81" ca="1">IF(G81="NA",0,INDIRECT(LEFT(G81,2))+INDIRECT(MID(G81,4,2))+INDIRECT(RIGHT(G81,2)))</f>
        <v>0</v>
      </c>
      <c r="AF81" s="45">
        <f t="shared" si="121"/>
        <v>0</v>
      </c>
      <c r="AG81" s="45">
        <f t="shared" si="122"/>
        <v>0</v>
      </c>
      <c r="AH81" s="45"/>
      <c r="AI81" s="51">
        <f t="shared" ca="1" si="98"/>
        <v>-25</v>
      </c>
      <c r="AM81" s="72">
        <f t="shared" si="101"/>
        <v>0</v>
      </c>
      <c r="AN81" s="72">
        <f t="shared" si="102"/>
        <v>0</v>
      </c>
      <c r="AO81" s="72">
        <f t="shared" si="103"/>
        <v>0</v>
      </c>
      <c r="AP81" s="72">
        <f t="shared" si="104"/>
        <v>0</v>
      </c>
      <c r="AQ81" s="72">
        <f t="shared" si="105"/>
        <v>0</v>
      </c>
      <c r="AR81" s="72">
        <f t="shared" si="106"/>
        <v>0</v>
      </c>
      <c r="AS81" s="72">
        <f t="shared" si="107"/>
        <v>0</v>
      </c>
      <c r="AT81" s="72">
        <f t="shared" si="108"/>
        <v>0</v>
      </c>
      <c r="AU81" s="72">
        <f t="shared" si="109"/>
        <v>0</v>
      </c>
      <c r="AV81" s="72">
        <f t="shared" si="110"/>
        <v>0</v>
      </c>
      <c r="AW81" s="72">
        <f t="shared" si="111"/>
        <v>0</v>
      </c>
      <c r="AX81" s="72">
        <f t="shared" si="112"/>
        <v>0</v>
      </c>
      <c r="AY81" s="72">
        <f t="shared" si="113"/>
        <v>0</v>
      </c>
      <c r="AZ81" s="72">
        <f t="shared" si="114"/>
        <v>0</v>
      </c>
      <c r="BA81" s="72">
        <f t="shared" si="115"/>
        <v>0</v>
      </c>
      <c r="BB81" s="72">
        <f t="shared" si="116"/>
        <v>0</v>
      </c>
      <c r="BC81" s="72">
        <f t="shared" si="117"/>
        <v>0</v>
      </c>
      <c r="BD81" s="72">
        <f t="shared" si="118"/>
        <v>0</v>
      </c>
      <c r="BE81" s="72">
        <f t="shared" si="119"/>
        <v>0</v>
      </c>
      <c r="BF81" s="72">
        <f t="shared" si="120"/>
        <v>0</v>
      </c>
    </row>
    <row r="82" spans="1:58" x14ac:dyDescent="0.25">
      <c r="A82" s="34" t="s">
        <v>176</v>
      </c>
      <c r="B82" s="1" t="e">
        <f t="shared" si="99"/>
        <v>#N/A</v>
      </c>
      <c r="C82" s="1"/>
      <c r="D82" s="1"/>
      <c r="E82" t="s">
        <v>178</v>
      </c>
      <c r="F82" s="77">
        <f>Worksheet!L60</f>
        <v>0</v>
      </c>
      <c r="G82" s="1" t="s">
        <v>175</v>
      </c>
      <c r="H82" s="1">
        <f>Worksheet!P60</f>
        <v>0</v>
      </c>
      <c r="AC82" s="1">
        <f>SUM(I82:INDEX(I82:AB82,Level))+H82</f>
        <v>0</v>
      </c>
      <c r="AD82" s="45">
        <f t="shared" si="100"/>
        <v>-25</v>
      </c>
      <c r="AE82" s="45" cm="1">
        <f t="array" aca="1" ref="AE82" ca="1">IF(G82="NA",0,INDIRECT(LEFT(G82,2))+INDIRECT(MID(G82,4,2))+INDIRECT(RIGHT(G82,2)))</f>
        <v>0</v>
      </c>
      <c r="AF82" s="45">
        <f t="shared" si="121"/>
        <v>0</v>
      </c>
      <c r="AG82" s="45">
        <f t="shared" si="122"/>
        <v>0</v>
      </c>
      <c r="AH82" s="45"/>
      <c r="AI82" s="51">
        <f t="shared" ca="1" si="98"/>
        <v>-25</v>
      </c>
      <c r="AM82" s="72">
        <f t="shared" si="101"/>
        <v>0</v>
      </c>
      <c r="AN82" s="72">
        <f t="shared" si="102"/>
        <v>0</v>
      </c>
      <c r="AO82" s="72">
        <f t="shared" si="103"/>
        <v>0</v>
      </c>
      <c r="AP82" s="72">
        <f t="shared" si="104"/>
        <v>0</v>
      </c>
      <c r="AQ82" s="72">
        <f t="shared" si="105"/>
        <v>0</v>
      </c>
      <c r="AR82" s="72">
        <f t="shared" si="106"/>
        <v>0</v>
      </c>
      <c r="AS82" s="72">
        <f t="shared" si="107"/>
        <v>0</v>
      </c>
      <c r="AT82" s="72">
        <f t="shared" si="108"/>
        <v>0</v>
      </c>
      <c r="AU82" s="72">
        <f t="shared" si="109"/>
        <v>0</v>
      </c>
      <c r="AV82" s="72">
        <f t="shared" si="110"/>
        <v>0</v>
      </c>
      <c r="AW82" s="72">
        <f t="shared" si="111"/>
        <v>0</v>
      </c>
      <c r="AX82" s="72">
        <f t="shared" si="112"/>
        <v>0</v>
      </c>
      <c r="AY82" s="72">
        <f t="shared" si="113"/>
        <v>0</v>
      </c>
      <c r="AZ82" s="72">
        <f t="shared" si="114"/>
        <v>0</v>
      </c>
      <c r="BA82" s="72">
        <f t="shared" si="115"/>
        <v>0</v>
      </c>
      <c r="BB82" s="72">
        <f t="shared" si="116"/>
        <v>0</v>
      </c>
      <c r="BC82" s="72">
        <f t="shared" si="117"/>
        <v>0</v>
      </c>
      <c r="BD82" s="72">
        <f t="shared" si="118"/>
        <v>0</v>
      </c>
      <c r="BE82" s="72">
        <f t="shared" si="119"/>
        <v>0</v>
      </c>
      <c r="BF82" s="72">
        <f t="shared" si="120"/>
        <v>0</v>
      </c>
    </row>
    <row r="83" spans="1:58" x14ac:dyDescent="0.25">
      <c r="A83" s="34" t="s">
        <v>176</v>
      </c>
      <c r="B83" s="1" t="e">
        <f t="shared" si="99"/>
        <v>#N/A</v>
      </c>
      <c r="C83" s="1"/>
      <c r="D83" s="1"/>
      <c r="E83" t="s">
        <v>177</v>
      </c>
      <c r="G83" s="1" t="s">
        <v>175</v>
      </c>
      <c r="H83" s="76"/>
      <c r="AC83" s="1">
        <f>SUM(I83:INDEX(I83:AB83,Level))+H83</f>
        <v>0</v>
      </c>
      <c r="AD83" s="45">
        <f t="shared" si="100"/>
        <v>-25</v>
      </c>
      <c r="AE83" s="45" cm="1">
        <f t="array" aca="1" ref="AE83" ca="1">IF(G83="NA",0,INDIRECT(LEFT(G83,2))+INDIRECT(MID(G83,4,2))+INDIRECT(RIGHT(G83,2)))</f>
        <v>0</v>
      </c>
      <c r="AF83" s="45">
        <f t="shared" si="121"/>
        <v>0</v>
      </c>
      <c r="AG83" s="45">
        <f t="shared" si="122"/>
        <v>0</v>
      </c>
      <c r="AH83" s="45"/>
      <c r="AI83" s="51">
        <f t="shared" ca="1" si="98"/>
        <v>-25</v>
      </c>
      <c r="AM83" s="72">
        <f t="shared" si="101"/>
        <v>0</v>
      </c>
      <c r="AN83" s="72">
        <f t="shared" si="102"/>
        <v>0</v>
      </c>
      <c r="AO83" s="72">
        <f t="shared" si="103"/>
        <v>0</v>
      </c>
      <c r="AP83" s="72">
        <f t="shared" si="104"/>
        <v>0</v>
      </c>
      <c r="AQ83" s="72">
        <f t="shared" si="105"/>
        <v>0</v>
      </c>
      <c r="AR83" s="72">
        <f t="shared" si="106"/>
        <v>0</v>
      </c>
      <c r="AS83" s="72">
        <f t="shared" si="107"/>
        <v>0</v>
      </c>
      <c r="AT83" s="72">
        <f t="shared" si="108"/>
        <v>0</v>
      </c>
      <c r="AU83" s="72">
        <f t="shared" si="109"/>
        <v>0</v>
      </c>
      <c r="AV83" s="72">
        <f t="shared" si="110"/>
        <v>0</v>
      </c>
      <c r="AW83" s="72">
        <f t="shared" si="111"/>
        <v>0</v>
      </c>
      <c r="AX83" s="72">
        <f t="shared" si="112"/>
        <v>0</v>
      </c>
      <c r="AY83" s="72">
        <f t="shared" si="113"/>
        <v>0</v>
      </c>
      <c r="AZ83" s="72">
        <f t="shared" si="114"/>
        <v>0</v>
      </c>
      <c r="BA83" s="72">
        <f t="shared" si="115"/>
        <v>0</v>
      </c>
      <c r="BB83" s="72">
        <f t="shared" si="116"/>
        <v>0</v>
      </c>
      <c r="BC83" s="72">
        <f t="shared" si="117"/>
        <v>0</v>
      </c>
      <c r="BD83" s="72">
        <f t="shared" si="118"/>
        <v>0</v>
      </c>
      <c r="BE83" s="72">
        <f t="shared" si="119"/>
        <v>0</v>
      </c>
      <c r="BF83" s="72">
        <f t="shared" si="120"/>
        <v>0</v>
      </c>
    </row>
    <row r="84" spans="1:58" x14ac:dyDescent="0.25">
      <c r="A84" s="34" t="s">
        <v>176</v>
      </c>
      <c r="B84" s="1" t="e">
        <f t="shared" si="99"/>
        <v>#N/A</v>
      </c>
      <c r="C84" s="1"/>
      <c r="D84" s="1"/>
      <c r="E84" t="s">
        <v>178</v>
      </c>
      <c r="G84" s="1" t="s">
        <v>175</v>
      </c>
      <c r="H84" s="76"/>
      <c r="AC84" s="1">
        <f>SUM(I84:INDEX(I84:AB84,Level))+H84</f>
        <v>0</v>
      </c>
      <c r="AD84" s="45">
        <f t="shared" si="100"/>
        <v>-25</v>
      </c>
      <c r="AE84" s="45" cm="1">
        <f t="array" aca="1" ref="AE84" ca="1">IF(G84="NA",0,INDIRECT(LEFT(G84,2))+INDIRECT(MID(G84,4,2))+INDIRECT(RIGHT(G84,2)))</f>
        <v>0</v>
      </c>
      <c r="AF84" s="45">
        <f t="shared" si="121"/>
        <v>0</v>
      </c>
      <c r="AG84" s="45">
        <f t="shared" si="122"/>
        <v>0</v>
      </c>
      <c r="AH84" s="45"/>
      <c r="AI84" s="51">
        <f t="shared" ca="1" si="98"/>
        <v>-25</v>
      </c>
      <c r="AM84" s="72">
        <f t="shared" si="101"/>
        <v>0</v>
      </c>
      <c r="AN84" s="72">
        <f t="shared" si="102"/>
        <v>0</v>
      </c>
      <c r="AO84" s="72">
        <f t="shared" si="103"/>
        <v>0</v>
      </c>
      <c r="AP84" s="72">
        <f t="shared" si="104"/>
        <v>0</v>
      </c>
      <c r="AQ84" s="72">
        <f t="shared" si="105"/>
        <v>0</v>
      </c>
      <c r="AR84" s="72">
        <f t="shared" si="106"/>
        <v>0</v>
      </c>
      <c r="AS84" s="72">
        <f t="shared" si="107"/>
        <v>0</v>
      </c>
      <c r="AT84" s="72">
        <f t="shared" si="108"/>
        <v>0</v>
      </c>
      <c r="AU84" s="72">
        <f t="shared" si="109"/>
        <v>0</v>
      </c>
      <c r="AV84" s="72">
        <f t="shared" si="110"/>
        <v>0</v>
      </c>
      <c r="AW84" s="72">
        <f t="shared" si="111"/>
        <v>0</v>
      </c>
      <c r="AX84" s="72">
        <f t="shared" si="112"/>
        <v>0</v>
      </c>
      <c r="AY84" s="72">
        <f t="shared" si="113"/>
        <v>0</v>
      </c>
      <c r="AZ84" s="72">
        <f t="shared" si="114"/>
        <v>0</v>
      </c>
      <c r="BA84" s="72">
        <f t="shared" si="115"/>
        <v>0</v>
      </c>
      <c r="BB84" s="72">
        <f t="shared" si="116"/>
        <v>0</v>
      </c>
      <c r="BC84" s="72">
        <f t="shared" si="117"/>
        <v>0</v>
      </c>
      <c r="BD84" s="72">
        <f t="shared" si="118"/>
        <v>0</v>
      </c>
      <c r="BE84" s="72">
        <f t="shared" si="119"/>
        <v>0</v>
      </c>
      <c r="BF84" s="72">
        <f t="shared" si="120"/>
        <v>0</v>
      </c>
    </row>
    <row r="85" spans="1:58" x14ac:dyDescent="0.25">
      <c r="A85" s="34" t="s">
        <v>176</v>
      </c>
      <c r="B85" s="1" t="e">
        <f t="shared" si="99"/>
        <v>#N/A</v>
      </c>
      <c r="C85" s="1"/>
      <c r="D85" s="1"/>
      <c r="E85" t="s">
        <v>177</v>
      </c>
      <c r="G85" s="1" t="s">
        <v>175</v>
      </c>
      <c r="H85" s="76"/>
      <c r="AC85" s="1">
        <f>SUM(I85:INDEX(I85:AB85,Level))+H85</f>
        <v>0</v>
      </c>
      <c r="AD85" s="45">
        <f t="shared" si="100"/>
        <v>-25</v>
      </c>
      <c r="AE85" s="45" cm="1">
        <f t="array" aca="1" ref="AE85" ca="1">IF(G85="NA",0,INDIRECT(LEFT(G85,2))+INDIRECT(MID(G85,4,2))+INDIRECT(RIGHT(G85,2)))</f>
        <v>0</v>
      </c>
      <c r="AF85" s="45">
        <f t="shared" si="121"/>
        <v>0</v>
      </c>
      <c r="AG85" s="45">
        <f t="shared" si="122"/>
        <v>0</v>
      </c>
      <c r="AH85" s="45"/>
      <c r="AI85" s="51">
        <f t="shared" ca="1" si="98"/>
        <v>-25</v>
      </c>
      <c r="AM85" s="72">
        <f t="shared" si="101"/>
        <v>0</v>
      </c>
      <c r="AN85" s="72">
        <f t="shared" si="102"/>
        <v>0</v>
      </c>
      <c r="AO85" s="72">
        <f t="shared" si="103"/>
        <v>0</v>
      </c>
      <c r="AP85" s="72">
        <f t="shared" si="104"/>
        <v>0</v>
      </c>
      <c r="AQ85" s="72">
        <f t="shared" si="105"/>
        <v>0</v>
      </c>
      <c r="AR85" s="72">
        <f t="shared" si="106"/>
        <v>0</v>
      </c>
      <c r="AS85" s="72">
        <f t="shared" si="107"/>
        <v>0</v>
      </c>
      <c r="AT85" s="72">
        <f t="shared" si="108"/>
        <v>0</v>
      </c>
      <c r="AU85" s="72">
        <f t="shared" si="109"/>
        <v>0</v>
      </c>
      <c r="AV85" s="72">
        <f t="shared" si="110"/>
        <v>0</v>
      </c>
      <c r="AW85" s="72">
        <f t="shared" si="111"/>
        <v>0</v>
      </c>
      <c r="AX85" s="72">
        <f t="shared" si="112"/>
        <v>0</v>
      </c>
      <c r="AY85" s="72">
        <f t="shared" si="113"/>
        <v>0</v>
      </c>
      <c r="AZ85" s="72">
        <f t="shared" si="114"/>
        <v>0</v>
      </c>
      <c r="BA85" s="72">
        <f t="shared" si="115"/>
        <v>0</v>
      </c>
      <c r="BB85" s="72">
        <f t="shared" si="116"/>
        <v>0</v>
      </c>
      <c r="BC85" s="72">
        <f t="shared" si="117"/>
        <v>0</v>
      </c>
      <c r="BD85" s="72">
        <f t="shared" si="118"/>
        <v>0</v>
      </c>
      <c r="BE85" s="72">
        <f t="shared" si="119"/>
        <v>0</v>
      </c>
      <c r="BF85" s="72">
        <f t="shared" si="120"/>
        <v>0</v>
      </c>
    </row>
    <row r="86" spans="1:58" x14ac:dyDescent="0.25">
      <c r="A86" s="34" t="s">
        <v>176</v>
      </c>
      <c r="B86" s="1" t="e">
        <f t="shared" si="99"/>
        <v>#N/A</v>
      </c>
      <c r="C86" s="1"/>
      <c r="D86" s="1"/>
      <c r="E86" t="s">
        <v>178</v>
      </c>
      <c r="G86" s="1" t="s">
        <v>175</v>
      </c>
      <c r="H86" s="76"/>
      <c r="AC86" s="1">
        <f>SUM(I86:INDEX(I86:AB86,Level))+H86</f>
        <v>0</v>
      </c>
      <c r="AD86" s="45">
        <f t="shared" si="100"/>
        <v>-25</v>
      </c>
      <c r="AE86" s="45" cm="1">
        <f t="array" aca="1" ref="AE86" ca="1">IF(G86="NA",0,INDIRECT(LEFT(G86,2))+INDIRECT(MID(G86,4,2))+INDIRECT(RIGHT(G86,2)))</f>
        <v>0</v>
      </c>
      <c r="AF86" s="45">
        <f t="shared" si="121"/>
        <v>0</v>
      </c>
      <c r="AG86" s="45">
        <f t="shared" si="122"/>
        <v>0</v>
      </c>
      <c r="AH86" s="45"/>
      <c r="AI86" s="51">
        <f t="shared" ca="1" si="98"/>
        <v>-25</v>
      </c>
      <c r="AM86" s="72">
        <f t="shared" si="101"/>
        <v>0</v>
      </c>
      <c r="AN86" s="72">
        <f t="shared" si="102"/>
        <v>0</v>
      </c>
      <c r="AO86" s="72">
        <f t="shared" si="103"/>
        <v>0</v>
      </c>
      <c r="AP86" s="72">
        <f t="shared" si="104"/>
        <v>0</v>
      </c>
      <c r="AQ86" s="72">
        <f t="shared" si="105"/>
        <v>0</v>
      </c>
      <c r="AR86" s="72">
        <f t="shared" si="106"/>
        <v>0</v>
      </c>
      <c r="AS86" s="72">
        <f t="shared" si="107"/>
        <v>0</v>
      </c>
      <c r="AT86" s="72">
        <f t="shared" si="108"/>
        <v>0</v>
      </c>
      <c r="AU86" s="72">
        <f t="shared" si="109"/>
        <v>0</v>
      </c>
      <c r="AV86" s="72">
        <f t="shared" si="110"/>
        <v>0</v>
      </c>
      <c r="AW86" s="72">
        <f t="shared" si="111"/>
        <v>0</v>
      </c>
      <c r="AX86" s="72">
        <f t="shared" si="112"/>
        <v>0</v>
      </c>
      <c r="AY86" s="72">
        <f t="shared" si="113"/>
        <v>0</v>
      </c>
      <c r="AZ86" s="72">
        <f t="shared" si="114"/>
        <v>0</v>
      </c>
      <c r="BA86" s="72">
        <f t="shared" si="115"/>
        <v>0</v>
      </c>
      <c r="BB86" s="72">
        <f t="shared" si="116"/>
        <v>0</v>
      </c>
      <c r="BC86" s="72">
        <f t="shared" si="117"/>
        <v>0</v>
      </c>
      <c r="BD86" s="72">
        <f t="shared" si="118"/>
        <v>0</v>
      </c>
      <c r="BE86" s="72">
        <f t="shared" si="119"/>
        <v>0</v>
      </c>
      <c r="BF86" s="72">
        <f t="shared" si="120"/>
        <v>0</v>
      </c>
    </row>
    <row r="87" spans="1:58" x14ac:dyDescent="0.25">
      <c r="A87" s="34" t="s">
        <v>176</v>
      </c>
      <c r="B87" s="1" t="e">
        <f t="shared" si="99"/>
        <v>#N/A</v>
      </c>
      <c r="C87" s="1"/>
      <c r="D87" s="1"/>
      <c r="E87" t="s">
        <v>177</v>
      </c>
      <c r="G87" s="1" t="s">
        <v>175</v>
      </c>
      <c r="H87" s="76"/>
      <c r="AC87" s="1">
        <f>SUM(I87:INDEX(I87:AB87,Level))+H87</f>
        <v>0</v>
      </c>
      <c r="AD87" s="45">
        <f t="shared" si="100"/>
        <v>-25</v>
      </c>
      <c r="AE87" s="45" cm="1">
        <f t="array" aca="1" ref="AE87" ca="1">IF(G87="NA",0,INDIRECT(LEFT(G87,2))+INDIRECT(MID(G87,4,2))+INDIRECT(RIGHT(G87,2)))</f>
        <v>0</v>
      </c>
      <c r="AF87" s="45">
        <f t="shared" si="121"/>
        <v>0</v>
      </c>
      <c r="AG87" s="45">
        <f t="shared" si="122"/>
        <v>0</v>
      </c>
      <c r="AH87" s="45"/>
      <c r="AI87" s="51">
        <f t="shared" ca="1" si="98"/>
        <v>-25</v>
      </c>
      <c r="AM87" s="72">
        <f t="shared" si="101"/>
        <v>0</v>
      </c>
      <c r="AN87" s="72">
        <f t="shared" si="102"/>
        <v>0</v>
      </c>
      <c r="AO87" s="72">
        <f t="shared" si="103"/>
        <v>0</v>
      </c>
      <c r="AP87" s="72">
        <f t="shared" si="104"/>
        <v>0</v>
      </c>
      <c r="AQ87" s="72">
        <f t="shared" si="105"/>
        <v>0</v>
      </c>
      <c r="AR87" s="72">
        <f t="shared" si="106"/>
        <v>0</v>
      </c>
      <c r="AS87" s="72">
        <f t="shared" si="107"/>
        <v>0</v>
      </c>
      <c r="AT87" s="72">
        <f t="shared" si="108"/>
        <v>0</v>
      </c>
      <c r="AU87" s="72">
        <f t="shared" si="109"/>
        <v>0</v>
      </c>
      <c r="AV87" s="72">
        <f t="shared" si="110"/>
        <v>0</v>
      </c>
      <c r="AW87" s="72">
        <f t="shared" si="111"/>
        <v>0</v>
      </c>
      <c r="AX87" s="72">
        <f t="shared" si="112"/>
        <v>0</v>
      </c>
      <c r="AY87" s="72">
        <f t="shared" si="113"/>
        <v>0</v>
      </c>
      <c r="AZ87" s="72">
        <f t="shared" si="114"/>
        <v>0</v>
      </c>
      <c r="BA87" s="72">
        <f t="shared" si="115"/>
        <v>0</v>
      </c>
      <c r="BB87" s="72">
        <f t="shared" si="116"/>
        <v>0</v>
      </c>
      <c r="BC87" s="72">
        <f t="shared" si="117"/>
        <v>0</v>
      </c>
      <c r="BD87" s="72">
        <f t="shared" si="118"/>
        <v>0</v>
      </c>
      <c r="BE87" s="72">
        <f t="shared" si="119"/>
        <v>0</v>
      </c>
      <c r="BF87" s="72">
        <f t="shared" si="120"/>
        <v>0</v>
      </c>
    </row>
    <row r="88" spans="1:58" x14ac:dyDescent="0.25">
      <c r="A88" s="34" t="s">
        <v>176</v>
      </c>
      <c r="B88" s="1" t="e">
        <f t="shared" si="99"/>
        <v>#N/A</v>
      </c>
      <c r="C88" s="1"/>
      <c r="D88" s="1"/>
      <c r="E88" t="s">
        <v>178</v>
      </c>
      <c r="G88" s="1" t="s">
        <v>175</v>
      </c>
      <c r="H88" s="76"/>
      <c r="AC88" s="1">
        <f>SUM(I88:INDEX(I88:AB88,Level))+H88</f>
        <v>0</v>
      </c>
      <c r="AD88" s="45">
        <f t="shared" si="100"/>
        <v>-25</v>
      </c>
      <c r="AE88" s="45" cm="1">
        <f t="array" aca="1" ref="AE88" ca="1">IF(G88="NA",0,INDIRECT(LEFT(G88,2))+INDIRECT(MID(G88,4,2))+INDIRECT(RIGHT(G88,2)))</f>
        <v>0</v>
      </c>
      <c r="AF88" s="45">
        <f t="shared" si="121"/>
        <v>0</v>
      </c>
      <c r="AG88" s="45">
        <f t="shared" si="122"/>
        <v>0</v>
      </c>
      <c r="AH88" s="45"/>
      <c r="AI88" s="51">
        <f t="shared" ca="1" si="98"/>
        <v>-25</v>
      </c>
      <c r="AM88" s="72">
        <f t="shared" si="101"/>
        <v>0</v>
      </c>
      <c r="AN88" s="72">
        <f t="shared" si="102"/>
        <v>0</v>
      </c>
      <c r="AO88" s="72">
        <f t="shared" si="103"/>
        <v>0</v>
      </c>
      <c r="AP88" s="72">
        <f t="shared" si="104"/>
        <v>0</v>
      </c>
      <c r="AQ88" s="72">
        <f t="shared" si="105"/>
        <v>0</v>
      </c>
      <c r="AR88" s="72">
        <f t="shared" si="106"/>
        <v>0</v>
      </c>
      <c r="AS88" s="72">
        <f t="shared" si="107"/>
        <v>0</v>
      </c>
      <c r="AT88" s="72">
        <f t="shared" si="108"/>
        <v>0</v>
      </c>
      <c r="AU88" s="72">
        <f t="shared" si="109"/>
        <v>0</v>
      </c>
      <c r="AV88" s="72">
        <f t="shared" si="110"/>
        <v>0</v>
      </c>
      <c r="AW88" s="72">
        <f t="shared" si="111"/>
        <v>0</v>
      </c>
      <c r="AX88" s="72">
        <f t="shared" si="112"/>
        <v>0</v>
      </c>
      <c r="AY88" s="72">
        <f t="shared" si="113"/>
        <v>0</v>
      </c>
      <c r="AZ88" s="72">
        <f t="shared" si="114"/>
        <v>0</v>
      </c>
      <c r="BA88" s="72">
        <f t="shared" si="115"/>
        <v>0</v>
      </c>
      <c r="BB88" s="72">
        <f t="shared" si="116"/>
        <v>0</v>
      </c>
      <c r="BC88" s="72">
        <f t="shared" si="117"/>
        <v>0</v>
      </c>
      <c r="BD88" s="72">
        <f t="shared" si="118"/>
        <v>0</v>
      </c>
      <c r="BE88" s="72">
        <f t="shared" si="119"/>
        <v>0</v>
      </c>
      <c r="BF88" s="72">
        <f t="shared" si="120"/>
        <v>0</v>
      </c>
    </row>
    <row r="89" spans="1:58" x14ac:dyDescent="0.25">
      <c r="A89" s="34" t="s">
        <v>179</v>
      </c>
      <c r="B89" s="1" t="e">
        <f t="shared" ref="B89:B139" si="123">VLOOKUP(A89,Table_Profession_Skills,VLOOKUP(Profession,Table_Profession,2,FALSE)+1,FALSE)</f>
        <v>#N/A</v>
      </c>
      <c r="C89" s="1"/>
      <c r="D89" s="1"/>
      <c r="E89" t="s">
        <v>180</v>
      </c>
      <c r="G89" s="1" t="s">
        <v>109</v>
      </c>
      <c r="H89" s="76"/>
      <c r="AC89" s="1">
        <f>SUM(I89:INDEX(I89:AB89,Level))+H89</f>
        <v>0</v>
      </c>
      <c r="AD89" s="45">
        <f t="shared" si="100"/>
        <v>-25</v>
      </c>
      <c r="AE89" s="45" cm="1">
        <f t="array" aca="1" ref="AE89" ca="1">IF(G89="NA",0,INDIRECT(LEFT(G89,2))+INDIRECT(MID(G89,4,2))+INDIRECT(RIGHT(G89,2)))</f>
        <v>0</v>
      </c>
      <c r="AF89" s="45">
        <f t="shared" si="121"/>
        <v>0</v>
      </c>
      <c r="AG89" s="45">
        <f t="shared" si="122"/>
        <v>0</v>
      </c>
      <c r="AH89" s="45"/>
      <c r="AI89" s="51">
        <f t="shared" ca="1" si="98"/>
        <v>-25</v>
      </c>
      <c r="AM89" s="72">
        <f t="shared" si="101"/>
        <v>0</v>
      </c>
      <c r="AN89" s="72">
        <f t="shared" si="102"/>
        <v>0</v>
      </c>
      <c r="AO89" s="72">
        <f t="shared" si="103"/>
        <v>0</v>
      </c>
      <c r="AP89" s="72">
        <f t="shared" si="104"/>
        <v>0</v>
      </c>
      <c r="AQ89" s="72">
        <f t="shared" si="105"/>
        <v>0</v>
      </c>
      <c r="AR89" s="72">
        <f t="shared" si="106"/>
        <v>0</v>
      </c>
      <c r="AS89" s="72">
        <f t="shared" si="107"/>
        <v>0</v>
      </c>
      <c r="AT89" s="72">
        <f t="shared" si="108"/>
        <v>0</v>
      </c>
      <c r="AU89" s="72">
        <f t="shared" si="109"/>
        <v>0</v>
      </c>
      <c r="AV89" s="72">
        <f t="shared" si="110"/>
        <v>0</v>
      </c>
      <c r="AW89" s="72">
        <f t="shared" si="111"/>
        <v>0</v>
      </c>
      <c r="AX89" s="72">
        <f t="shared" si="112"/>
        <v>0</v>
      </c>
      <c r="AY89" s="72">
        <f t="shared" si="113"/>
        <v>0</v>
      </c>
      <c r="AZ89" s="72">
        <f t="shared" si="114"/>
        <v>0</v>
      </c>
      <c r="BA89" s="72">
        <f t="shared" si="115"/>
        <v>0</v>
      </c>
      <c r="BB89" s="72">
        <f t="shared" si="116"/>
        <v>0</v>
      </c>
      <c r="BC89" s="72">
        <f t="shared" si="117"/>
        <v>0</v>
      </c>
      <c r="BD89" s="72">
        <f t="shared" si="118"/>
        <v>0</v>
      </c>
      <c r="BE89" s="72">
        <f t="shared" si="119"/>
        <v>0</v>
      </c>
      <c r="BF89" s="72">
        <f t="shared" si="120"/>
        <v>0</v>
      </c>
    </row>
    <row r="90" spans="1:58" x14ac:dyDescent="0.25">
      <c r="A90" s="34" t="s">
        <v>179</v>
      </c>
      <c r="B90" s="1" t="e">
        <f t="shared" si="123"/>
        <v>#N/A</v>
      </c>
      <c r="C90" s="1"/>
      <c r="D90" s="1"/>
      <c r="E90" t="s">
        <v>180</v>
      </c>
      <c r="G90" s="1" t="s">
        <v>109</v>
      </c>
      <c r="H90" s="76"/>
      <c r="AC90" s="1">
        <f>SUM(I90:INDEX(I90:AB90,Level))+H90</f>
        <v>0</v>
      </c>
      <c r="AD90" s="45">
        <f t="shared" si="100"/>
        <v>-25</v>
      </c>
      <c r="AE90" s="45" cm="1">
        <f t="array" aca="1" ref="AE90" ca="1">IF(G90="NA",0,INDIRECT(LEFT(G90,2))+INDIRECT(MID(G90,4,2))+INDIRECT(RIGHT(G90,2)))</f>
        <v>0</v>
      </c>
      <c r="AF90" s="45">
        <f t="shared" si="121"/>
        <v>0</v>
      </c>
      <c r="AG90" s="45">
        <f t="shared" si="122"/>
        <v>0</v>
      </c>
      <c r="AH90" s="45"/>
      <c r="AI90" s="51">
        <f t="shared" ca="1" si="98"/>
        <v>-25</v>
      </c>
      <c r="AM90" s="72">
        <f t="shared" si="101"/>
        <v>0</v>
      </c>
      <c r="AN90" s="72">
        <f t="shared" si="102"/>
        <v>0</v>
      </c>
      <c r="AO90" s="72">
        <f t="shared" si="103"/>
        <v>0</v>
      </c>
      <c r="AP90" s="72">
        <f t="shared" si="104"/>
        <v>0</v>
      </c>
      <c r="AQ90" s="72">
        <f t="shared" si="105"/>
        <v>0</v>
      </c>
      <c r="AR90" s="72">
        <f t="shared" si="106"/>
        <v>0</v>
      </c>
      <c r="AS90" s="72">
        <f t="shared" si="107"/>
        <v>0</v>
      </c>
      <c r="AT90" s="72">
        <f t="shared" si="108"/>
        <v>0</v>
      </c>
      <c r="AU90" s="72">
        <f t="shared" si="109"/>
        <v>0</v>
      </c>
      <c r="AV90" s="72">
        <f t="shared" si="110"/>
        <v>0</v>
      </c>
      <c r="AW90" s="72">
        <f t="shared" si="111"/>
        <v>0</v>
      </c>
      <c r="AX90" s="72">
        <f t="shared" si="112"/>
        <v>0</v>
      </c>
      <c r="AY90" s="72">
        <f t="shared" si="113"/>
        <v>0</v>
      </c>
      <c r="AZ90" s="72">
        <f t="shared" si="114"/>
        <v>0</v>
      </c>
      <c r="BA90" s="72">
        <f t="shared" si="115"/>
        <v>0</v>
      </c>
      <c r="BB90" s="72">
        <f t="shared" si="116"/>
        <v>0</v>
      </c>
      <c r="BC90" s="72">
        <f t="shared" si="117"/>
        <v>0</v>
      </c>
      <c r="BD90" s="72">
        <f t="shared" si="118"/>
        <v>0</v>
      </c>
      <c r="BE90" s="72">
        <f t="shared" si="119"/>
        <v>0</v>
      </c>
      <c r="BF90" s="72">
        <f t="shared" si="120"/>
        <v>0</v>
      </c>
    </row>
    <row r="91" spans="1:58" x14ac:dyDescent="0.25">
      <c r="A91" s="34" t="s">
        <v>179</v>
      </c>
      <c r="B91" s="1" t="e">
        <f t="shared" si="123"/>
        <v>#N/A</v>
      </c>
      <c r="C91" s="1"/>
      <c r="D91" s="1"/>
      <c r="E91" t="s">
        <v>180</v>
      </c>
      <c r="G91" s="1" t="s">
        <v>109</v>
      </c>
      <c r="H91" s="76"/>
      <c r="AC91" s="1">
        <f>SUM(I91:INDEX(I91:AB91,Level))+H91</f>
        <v>0</v>
      </c>
      <c r="AD91" s="45">
        <f t="shared" si="100"/>
        <v>-25</v>
      </c>
      <c r="AE91" s="45" cm="1">
        <f t="array" aca="1" ref="AE91" ca="1">IF(G91="NA",0,INDIRECT(LEFT(G91,2))+INDIRECT(MID(G91,4,2))+INDIRECT(RIGHT(G91,2)))</f>
        <v>0</v>
      </c>
      <c r="AF91" s="45">
        <f t="shared" si="121"/>
        <v>0</v>
      </c>
      <c r="AG91" s="45">
        <f t="shared" si="122"/>
        <v>0</v>
      </c>
      <c r="AH91" s="45"/>
      <c r="AI91" s="51">
        <f t="shared" ca="1" si="98"/>
        <v>-25</v>
      </c>
      <c r="AM91" s="72">
        <f t="shared" si="101"/>
        <v>0</v>
      </c>
      <c r="AN91" s="72">
        <f t="shared" si="102"/>
        <v>0</v>
      </c>
      <c r="AO91" s="72">
        <f t="shared" si="103"/>
        <v>0</v>
      </c>
      <c r="AP91" s="72">
        <f t="shared" si="104"/>
        <v>0</v>
      </c>
      <c r="AQ91" s="72">
        <f t="shared" si="105"/>
        <v>0</v>
      </c>
      <c r="AR91" s="72">
        <f t="shared" si="106"/>
        <v>0</v>
      </c>
      <c r="AS91" s="72">
        <f t="shared" si="107"/>
        <v>0</v>
      </c>
      <c r="AT91" s="72">
        <f t="shared" si="108"/>
        <v>0</v>
      </c>
      <c r="AU91" s="72">
        <f t="shared" si="109"/>
        <v>0</v>
      </c>
      <c r="AV91" s="72">
        <f t="shared" si="110"/>
        <v>0</v>
      </c>
      <c r="AW91" s="72">
        <f t="shared" si="111"/>
        <v>0</v>
      </c>
      <c r="AX91" s="72">
        <f t="shared" si="112"/>
        <v>0</v>
      </c>
      <c r="AY91" s="72">
        <f t="shared" si="113"/>
        <v>0</v>
      </c>
      <c r="AZ91" s="72">
        <f t="shared" si="114"/>
        <v>0</v>
      </c>
      <c r="BA91" s="72">
        <f t="shared" si="115"/>
        <v>0</v>
      </c>
      <c r="BB91" s="72">
        <f t="shared" si="116"/>
        <v>0</v>
      </c>
      <c r="BC91" s="72">
        <f t="shared" si="117"/>
        <v>0</v>
      </c>
      <c r="BD91" s="72">
        <f t="shared" si="118"/>
        <v>0</v>
      </c>
      <c r="BE91" s="72">
        <f t="shared" si="119"/>
        <v>0</v>
      </c>
      <c r="BF91" s="72">
        <f t="shared" si="120"/>
        <v>0</v>
      </c>
    </row>
    <row r="92" spans="1:58" x14ac:dyDescent="0.25">
      <c r="A92" s="34" t="s">
        <v>179</v>
      </c>
      <c r="B92" s="1" t="e">
        <f t="shared" si="123"/>
        <v>#N/A</v>
      </c>
      <c r="C92" s="1"/>
      <c r="D92" s="1"/>
      <c r="E92" t="s">
        <v>181</v>
      </c>
      <c r="G92" s="1" t="s">
        <v>109</v>
      </c>
      <c r="H92" s="76"/>
      <c r="AC92" s="1">
        <f>SUM(I92:INDEX(I92:AB92,Level))+H92</f>
        <v>0</v>
      </c>
      <c r="AD92" s="45">
        <f t="shared" si="100"/>
        <v>-25</v>
      </c>
      <c r="AE92" s="45" cm="1">
        <f t="array" aca="1" ref="AE92" ca="1">IF(G92="NA",0,INDIRECT(LEFT(G92,2))+INDIRECT(MID(G92,4,2))+INDIRECT(RIGHT(G92,2)))</f>
        <v>0</v>
      </c>
      <c r="AF92" s="45">
        <f t="shared" si="121"/>
        <v>0</v>
      </c>
      <c r="AG92" s="45">
        <f t="shared" si="122"/>
        <v>0</v>
      </c>
      <c r="AH92" s="45"/>
      <c r="AI92" s="51">
        <f t="shared" ca="1" si="98"/>
        <v>-25</v>
      </c>
      <c r="AM92" s="72">
        <f t="shared" si="101"/>
        <v>0</v>
      </c>
      <c r="AN92" s="72">
        <f t="shared" si="102"/>
        <v>0</v>
      </c>
      <c r="AO92" s="72">
        <f t="shared" si="103"/>
        <v>0</v>
      </c>
      <c r="AP92" s="72">
        <f t="shared" si="104"/>
        <v>0</v>
      </c>
      <c r="AQ92" s="72">
        <f t="shared" si="105"/>
        <v>0</v>
      </c>
      <c r="AR92" s="72">
        <f t="shared" si="106"/>
        <v>0</v>
      </c>
      <c r="AS92" s="72">
        <f t="shared" si="107"/>
        <v>0</v>
      </c>
      <c r="AT92" s="72">
        <f t="shared" si="108"/>
        <v>0</v>
      </c>
      <c r="AU92" s="72">
        <f t="shared" si="109"/>
        <v>0</v>
      </c>
      <c r="AV92" s="72">
        <f t="shared" si="110"/>
        <v>0</v>
      </c>
      <c r="AW92" s="72">
        <f t="shared" si="111"/>
        <v>0</v>
      </c>
      <c r="AX92" s="72">
        <f t="shared" si="112"/>
        <v>0</v>
      </c>
      <c r="AY92" s="72">
        <f t="shared" si="113"/>
        <v>0</v>
      </c>
      <c r="AZ92" s="72">
        <f t="shared" si="114"/>
        <v>0</v>
      </c>
      <c r="BA92" s="72">
        <f t="shared" si="115"/>
        <v>0</v>
      </c>
      <c r="BB92" s="72">
        <f t="shared" si="116"/>
        <v>0</v>
      </c>
      <c r="BC92" s="72">
        <f t="shared" si="117"/>
        <v>0</v>
      </c>
      <c r="BD92" s="72">
        <f t="shared" si="118"/>
        <v>0</v>
      </c>
      <c r="BE92" s="72">
        <f t="shared" si="119"/>
        <v>0</v>
      </c>
      <c r="BF92" s="72">
        <f t="shared" si="120"/>
        <v>0</v>
      </c>
    </row>
    <row r="93" spans="1:58" x14ac:dyDescent="0.25">
      <c r="A93" s="34" t="s">
        <v>179</v>
      </c>
      <c r="B93" s="1" t="e">
        <f t="shared" si="123"/>
        <v>#N/A</v>
      </c>
      <c r="C93" s="1"/>
      <c r="D93" s="1"/>
      <c r="E93" t="s">
        <v>181</v>
      </c>
      <c r="G93" s="1" t="s">
        <v>109</v>
      </c>
      <c r="H93" s="76"/>
      <c r="AC93" s="1">
        <f>SUM(I93:INDEX(I93:AB93,Level))+H93</f>
        <v>0</v>
      </c>
      <c r="AD93" s="45">
        <f t="shared" si="100"/>
        <v>-25</v>
      </c>
      <c r="AE93" s="45" cm="1">
        <f t="array" aca="1" ref="AE93" ca="1">IF(G93="NA",0,INDIRECT(LEFT(G93,2))+INDIRECT(MID(G93,4,2))+INDIRECT(RIGHT(G93,2)))</f>
        <v>0</v>
      </c>
      <c r="AF93" s="45">
        <f t="shared" si="121"/>
        <v>0</v>
      </c>
      <c r="AG93" s="45">
        <f t="shared" si="122"/>
        <v>0</v>
      </c>
      <c r="AH93" s="45"/>
      <c r="AI93" s="51">
        <f t="shared" ca="1" si="98"/>
        <v>-25</v>
      </c>
      <c r="AM93" s="72">
        <f t="shared" si="101"/>
        <v>0</v>
      </c>
      <c r="AN93" s="72">
        <f t="shared" si="102"/>
        <v>0</v>
      </c>
      <c r="AO93" s="72">
        <f t="shared" si="103"/>
        <v>0</v>
      </c>
      <c r="AP93" s="72">
        <f t="shared" si="104"/>
        <v>0</v>
      </c>
      <c r="AQ93" s="72">
        <f t="shared" si="105"/>
        <v>0</v>
      </c>
      <c r="AR93" s="72">
        <f t="shared" si="106"/>
        <v>0</v>
      </c>
      <c r="AS93" s="72">
        <f t="shared" si="107"/>
        <v>0</v>
      </c>
      <c r="AT93" s="72">
        <f t="shared" si="108"/>
        <v>0</v>
      </c>
      <c r="AU93" s="72">
        <f t="shared" si="109"/>
        <v>0</v>
      </c>
      <c r="AV93" s="72">
        <f t="shared" si="110"/>
        <v>0</v>
      </c>
      <c r="AW93" s="72">
        <f t="shared" si="111"/>
        <v>0</v>
      </c>
      <c r="AX93" s="72">
        <f t="shared" si="112"/>
        <v>0</v>
      </c>
      <c r="AY93" s="72">
        <f t="shared" si="113"/>
        <v>0</v>
      </c>
      <c r="AZ93" s="72">
        <f t="shared" si="114"/>
        <v>0</v>
      </c>
      <c r="BA93" s="72">
        <f t="shared" si="115"/>
        <v>0</v>
      </c>
      <c r="BB93" s="72">
        <f t="shared" si="116"/>
        <v>0</v>
      </c>
      <c r="BC93" s="72">
        <f t="shared" si="117"/>
        <v>0</v>
      </c>
      <c r="BD93" s="72">
        <f t="shared" si="118"/>
        <v>0</v>
      </c>
      <c r="BE93" s="72">
        <f t="shared" si="119"/>
        <v>0</v>
      </c>
      <c r="BF93" s="72">
        <f t="shared" si="120"/>
        <v>0</v>
      </c>
    </row>
    <row r="94" spans="1:58" x14ac:dyDescent="0.25">
      <c r="A94" s="34" t="s">
        <v>179</v>
      </c>
      <c r="B94" s="1" t="e">
        <f t="shared" si="123"/>
        <v>#N/A</v>
      </c>
      <c r="C94" s="1"/>
      <c r="D94" s="1"/>
      <c r="E94" t="s">
        <v>182</v>
      </c>
      <c r="F94" s="79"/>
      <c r="G94" s="1" t="s">
        <v>109</v>
      </c>
      <c r="H94" s="76"/>
      <c r="AC94" s="1">
        <f>SUM(I94:INDEX(I94:AB94,Level))+H94</f>
        <v>0</v>
      </c>
      <c r="AD94" s="45">
        <f t="shared" si="100"/>
        <v>-25</v>
      </c>
      <c r="AE94" s="45" cm="1">
        <f t="array" aca="1" ref="AE94" ca="1">IF(G94="NA",0,INDIRECT(LEFT(G94,2))+INDIRECT(MID(G94,4,2))+INDIRECT(RIGHT(G94,2)))</f>
        <v>0</v>
      </c>
      <c r="AF94" s="45">
        <f t="shared" si="121"/>
        <v>0</v>
      </c>
      <c r="AG94" s="45">
        <f t="shared" si="122"/>
        <v>0</v>
      </c>
      <c r="AH94" s="45"/>
      <c r="AI94" s="51">
        <f t="shared" ca="1" si="98"/>
        <v>-25</v>
      </c>
      <c r="AM94" s="72">
        <f t="shared" si="101"/>
        <v>0</v>
      </c>
      <c r="AN94" s="72">
        <f t="shared" si="102"/>
        <v>0</v>
      </c>
      <c r="AO94" s="72">
        <f t="shared" si="103"/>
        <v>0</v>
      </c>
      <c r="AP94" s="72">
        <f t="shared" si="104"/>
        <v>0</v>
      </c>
      <c r="AQ94" s="72">
        <f t="shared" si="105"/>
        <v>0</v>
      </c>
      <c r="AR94" s="72">
        <f t="shared" si="106"/>
        <v>0</v>
      </c>
      <c r="AS94" s="72">
        <f t="shared" si="107"/>
        <v>0</v>
      </c>
      <c r="AT94" s="72">
        <f t="shared" si="108"/>
        <v>0</v>
      </c>
      <c r="AU94" s="72">
        <f t="shared" si="109"/>
        <v>0</v>
      </c>
      <c r="AV94" s="72">
        <f t="shared" si="110"/>
        <v>0</v>
      </c>
      <c r="AW94" s="72">
        <f t="shared" si="111"/>
        <v>0</v>
      </c>
      <c r="AX94" s="72">
        <f t="shared" si="112"/>
        <v>0</v>
      </c>
      <c r="AY94" s="72">
        <f t="shared" si="113"/>
        <v>0</v>
      </c>
      <c r="AZ94" s="72">
        <f t="shared" si="114"/>
        <v>0</v>
      </c>
      <c r="BA94" s="72">
        <f t="shared" si="115"/>
        <v>0</v>
      </c>
      <c r="BB94" s="72">
        <f t="shared" si="116"/>
        <v>0</v>
      </c>
      <c r="BC94" s="72">
        <f t="shared" si="117"/>
        <v>0</v>
      </c>
      <c r="BD94" s="72">
        <f t="shared" si="118"/>
        <v>0</v>
      </c>
      <c r="BE94" s="72">
        <f t="shared" si="119"/>
        <v>0</v>
      </c>
      <c r="BF94" s="72">
        <f t="shared" si="120"/>
        <v>0</v>
      </c>
    </row>
    <row r="95" spans="1:58" x14ac:dyDescent="0.25">
      <c r="A95" s="34" t="s">
        <v>183</v>
      </c>
      <c r="B95" s="1" t="e">
        <f t="shared" si="123"/>
        <v>#N/A</v>
      </c>
      <c r="C95" s="1"/>
      <c r="D95" s="1"/>
      <c r="E95" t="s">
        <v>184</v>
      </c>
      <c r="F95" s="79"/>
      <c r="G95" s="1" t="s">
        <v>160</v>
      </c>
      <c r="H95" s="1" t="e">
        <f>Worksheet!P22</f>
        <v>#N/A</v>
      </c>
      <c r="AC95" s="1" t="e">
        <f>SUM(I95:INDEX(I95:AB95,Level))+H95</f>
        <v>#N/A</v>
      </c>
      <c r="AD95" s="45" t="e">
        <f t="shared" si="100"/>
        <v>#N/A</v>
      </c>
      <c r="AE95" s="45" cm="1">
        <f t="array" aca="1" ref="AE95" ca="1">IF(G95="NA",0,INDIRECT(LEFT(G95,2))+INDIRECT(MID(G95,4,2))+INDIRECT(RIGHT(G95,2)))</f>
        <v>0</v>
      </c>
      <c r="AF95" s="45">
        <f t="shared" si="121"/>
        <v>0</v>
      </c>
      <c r="AG95" s="45">
        <f t="shared" si="122"/>
        <v>0</v>
      </c>
      <c r="AH95" s="45"/>
      <c r="AI95" s="51" t="e">
        <f t="shared" si="98"/>
        <v>#N/A</v>
      </c>
      <c r="AM95" s="72">
        <f t="shared" si="101"/>
        <v>0</v>
      </c>
      <c r="AN95" s="72">
        <f t="shared" si="102"/>
        <v>0</v>
      </c>
      <c r="AO95" s="72">
        <f t="shared" si="103"/>
        <v>0</v>
      </c>
      <c r="AP95" s="72">
        <f t="shared" si="104"/>
        <v>0</v>
      </c>
      <c r="AQ95" s="72">
        <f t="shared" si="105"/>
        <v>0</v>
      </c>
      <c r="AR95" s="72">
        <f t="shared" si="106"/>
        <v>0</v>
      </c>
      <c r="AS95" s="72">
        <f t="shared" si="107"/>
        <v>0</v>
      </c>
      <c r="AT95" s="72">
        <f t="shared" si="108"/>
        <v>0</v>
      </c>
      <c r="AU95" s="72">
        <f t="shared" si="109"/>
        <v>0</v>
      </c>
      <c r="AV95" s="72">
        <f t="shared" si="110"/>
        <v>0</v>
      </c>
      <c r="AW95" s="72">
        <f t="shared" si="111"/>
        <v>0</v>
      </c>
      <c r="AX95" s="72">
        <f t="shared" si="112"/>
        <v>0</v>
      </c>
      <c r="AY95" s="72">
        <f t="shared" si="113"/>
        <v>0</v>
      </c>
      <c r="AZ95" s="72">
        <f t="shared" si="114"/>
        <v>0</v>
      </c>
      <c r="BA95" s="72">
        <f t="shared" si="115"/>
        <v>0</v>
      </c>
      <c r="BB95" s="72">
        <f t="shared" si="116"/>
        <v>0</v>
      </c>
      <c r="BC95" s="72">
        <f t="shared" si="117"/>
        <v>0</v>
      </c>
      <c r="BD95" s="72">
        <f t="shared" si="118"/>
        <v>0</v>
      </c>
      <c r="BE95" s="72">
        <f t="shared" si="119"/>
        <v>0</v>
      </c>
      <c r="BF95" s="72">
        <f t="shared" si="120"/>
        <v>0</v>
      </c>
    </row>
    <row r="96" spans="1:58" x14ac:dyDescent="0.25">
      <c r="A96" s="34" t="s">
        <v>183</v>
      </c>
      <c r="B96" s="1" t="e">
        <f t="shared" si="123"/>
        <v>#N/A</v>
      </c>
      <c r="C96" s="1"/>
      <c r="D96" s="1"/>
      <c r="E96" t="s">
        <v>185</v>
      </c>
      <c r="F96" s="79"/>
      <c r="G96" s="1" t="s">
        <v>160</v>
      </c>
      <c r="H96" s="1" t="e">
        <f>Worksheet!P23</f>
        <v>#N/A</v>
      </c>
      <c r="AC96" s="1" t="e">
        <f>SUM(I96:INDEX(I96:AB96,Level))+H96</f>
        <v>#N/A</v>
      </c>
      <c r="AD96" s="45" t="e">
        <f t="shared" si="100"/>
        <v>#N/A</v>
      </c>
      <c r="AE96" s="45" cm="1">
        <f t="array" aca="1" ref="AE96" ca="1">IF(G96="NA",0,INDIRECT(LEFT(G96,2))+INDIRECT(MID(G96,4,2))+INDIRECT(RIGHT(G96,2)))</f>
        <v>0</v>
      </c>
      <c r="AF96" s="45">
        <f t="shared" si="121"/>
        <v>0</v>
      </c>
      <c r="AG96" s="45">
        <f t="shared" si="122"/>
        <v>0</v>
      </c>
      <c r="AH96" s="45"/>
      <c r="AI96" s="51" t="e">
        <f t="shared" si="98"/>
        <v>#N/A</v>
      </c>
      <c r="AM96" s="72">
        <f t="shared" si="101"/>
        <v>0</v>
      </c>
      <c r="AN96" s="72">
        <f t="shared" si="102"/>
        <v>0</v>
      </c>
      <c r="AO96" s="72">
        <f t="shared" si="103"/>
        <v>0</v>
      </c>
      <c r="AP96" s="72">
        <f t="shared" si="104"/>
        <v>0</v>
      </c>
      <c r="AQ96" s="72">
        <f t="shared" si="105"/>
        <v>0</v>
      </c>
      <c r="AR96" s="72">
        <f t="shared" si="106"/>
        <v>0</v>
      </c>
      <c r="AS96" s="72">
        <f t="shared" si="107"/>
        <v>0</v>
      </c>
      <c r="AT96" s="72">
        <f t="shared" si="108"/>
        <v>0</v>
      </c>
      <c r="AU96" s="72">
        <f t="shared" si="109"/>
        <v>0</v>
      </c>
      <c r="AV96" s="72">
        <f t="shared" si="110"/>
        <v>0</v>
      </c>
      <c r="AW96" s="72">
        <f t="shared" si="111"/>
        <v>0</v>
      </c>
      <c r="AX96" s="72">
        <f t="shared" si="112"/>
        <v>0</v>
      </c>
      <c r="AY96" s="72">
        <f t="shared" si="113"/>
        <v>0</v>
      </c>
      <c r="AZ96" s="72">
        <f t="shared" si="114"/>
        <v>0</v>
      </c>
      <c r="BA96" s="72">
        <f t="shared" si="115"/>
        <v>0</v>
      </c>
      <c r="BB96" s="72">
        <f t="shared" si="116"/>
        <v>0</v>
      </c>
      <c r="BC96" s="72">
        <f t="shared" si="117"/>
        <v>0</v>
      </c>
      <c r="BD96" s="72">
        <f t="shared" si="118"/>
        <v>0</v>
      </c>
      <c r="BE96" s="72">
        <f t="shared" si="119"/>
        <v>0</v>
      </c>
      <c r="BF96" s="72">
        <f t="shared" si="120"/>
        <v>0</v>
      </c>
    </row>
    <row r="97" spans="1:58" x14ac:dyDescent="0.25">
      <c r="A97" s="34" t="s">
        <v>183</v>
      </c>
      <c r="B97" s="1" t="e">
        <f t="shared" si="123"/>
        <v>#N/A</v>
      </c>
      <c r="C97" s="1"/>
      <c r="D97" s="1"/>
      <c r="E97" t="s">
        <v>186</v>
      </c>
      <c r="F97" s="79"/>
      <c r="G97" s="1" t="s">
        <v>160</v>
      </c>
      <c r="H97" s="76"/>
      <c r="AC97" s="1">
        <f>SUM(I97:INDEX(I97:AB97,Level))+H97</f>
        <v>0</v>
      </c>
      <c r="AD97" s="45">
        <f t="shared" si="100"/>
        <v>-25</v>
      </c>
      <c r="AE97" s="45" cm="1">
        <f t="array" aca="1" ref="AE97" ca="1">IF(G97="NA",0,INDIRECT(LEFT(G97,2))+INDIRECT(MID(G97,4,2))+INDIRECT(RIGHT(G97,2)))</f>
        <v>0</v>
      </c>
      <c r="AF97" s="45">
        <f t="shared" si="121"/>
        <v>0</v>
      </c>
      <c r="AG97" s="45">
        <f t="shared" si="122"/>
        <v>0</v>
      </c>
      <c r="AH97" s="45"/>
      <c r="AI97" s="51">
        <f t="shared" ca="1" si="98"/>
        <v>-25</v>
      </c>
      <c r="AM97" s="72">
        <f t="shared" si="101"/>
        <v>0</v>
      </c>
      <c r="AN97" s="72">
        <f t="shared" si="102"/>
        <v>0</v>
      </c>
      <c r="AO97" s="72">
        <f t="shared" si="103"/>
        <v>0</v>
      </c>
      <c r="AP97" s="72">
        <f t="shared" si="104"/>
        <v>0</v>
      </c>
      <c r="AQ97" s="72">
        <f t="shared" si="105"/>
        <v>0</v>
      </c>
      <c r="AR97" s="72">
        <f t="shared" si="106"/>
        <v>0</v>
      </c>
      <c r="AS97" s="72">
        <f t="shared" si="107"/>
        <v>0</v>
      </c>
      <c r="AT97" s="72">
        <f t="shared" si="108"/>
        <v>0</v>
      </c>
      <c r="AU97" s="72">
        <f t="shared" si="109"/>
        <v>0</v>
      </c>
      <c r="AV97" s="72">
        <f t="shared" si="110"/>
        <v>0</v>
      </c>
      <c r="AW97" s="72">
        <f t="shared" si="111"/>
        <v>0</v>
      </c>
      <c r="AX97" s="72">
        <f t="shared" si="112"/>
        <v>0</v>
      </c>
      <c r="AY97" s="72">
        <f t="shared" si="113"/>
        <v>0</v>
      </c>
      <c r="AZ97" s="72">
        <f t="shared" si="114"/>
        <v>0</v>
      </c>
      <c r="BA97" s="72">
        <f t="shared" si="115"/>
        <v>0</v>
      </c>
      <c r="BB97" s="72">
        <f t="shared" si="116"/>
        <v>0</v>
      </c>
      <c r="BC97" s="72">
        <f t="shared" si="117"/>
        <v>0</v>
      </c>
      <c r="BD97" s="72">
        <f t="shared" si="118"/>
        <v>0</v>
      </c>
      <c r="BE97" s="72">
        <f t="shared" si="119"/>
        <v>0</v>
      </c>
      <c r="BF97" s="72">
        <f t="shared" si="120"/>
        <v>0</v>
      </c>
    </row>
    <row r="98" spans="1:58" x14ac:dyDescent="0.25">
      <c r="A98" s="34" t="s">
        <v>187</v>
      </c>
      <c r="B98" s="1" t="e">
        <f t="shared" si="123"/>
        <v>#N/A</v>
      </c>
      <c r="C98" s="1"/>
      <c r="D98" s="1"/>
      <c r="E98" t="s">
        <v>188</v>
      </c>
      <c r="F98" s="79"/>
      <c r="G98" s="1" t="s">
        <v>191</v>
      </c>
      <c r="H98" s="76"/>
      <c r="AC98" s="1">
        <f>SUM(I98:INDEX(I98:AB98,Level))+H98</f>
        <v>0</v>
      </c>
      <c r="AD98" s="45">
        <f t="shared" si="100"/>
        <v>-25</v>
      </c>
      <c r="AE98" s="45" cm="1">
        <f t="array" aca="1" ref="AE98" ca="1">IF(G98="NA",0,INDIRECT(LEFT(G98,2))+INDIRECT(MID(G98,4,2))+INDIRECT(RIGHT(G98,2)))</f>
        <v>0</v>
      </c>
      <c r="AF98" s="45">
        <f t="shared" si="121"/>
        <v>0</v>
      </c>
      <c r="AG98" s="45">
        <f t="shared" si="122"/>
        <v>0</v>
      </c>
      <c r="AH98" s="45"/>
      <c r="AI98" s="51">
        <f t="shared" ca="1" si="98"/>
        <v>-25</v>
      </c>
      <c r="AM98" s="72">
        <f t="shared" si="101"/>
        <v>0</v>
      </c>
      <c r="AN98" s="72">
        <f t="shared" si="102"/>
        <v>0</v>
      </c>
      <c r="AO98" s="72">
        <f t="shared" si="103"/>
        <v>0</v>
      </c>
      <c r="AP98" s="72">
        <f t="shared" si="104"/>
        <v>0</v>
      </c>
      <c r="AQ98" s="72">
        <f t="shared" si="105"/>
        <v>0</v>
      </c>
      <c r="AR98" s="72">
        <f t="shared" si="106"/>
        <v>0</v>
      </c>
      <c r="AS98" s="72">
        <f t="shared" si="107"/>
        <v>0</v>
      </c>
      <c r="AT98" s="72">
        <f t="shared" si="108"/>
        <v>0</v>
      </c>
      <c r="AU98" s="72">
        <f t="shared" si="109"/>
        <v>0</v>
      </c>
      <c r="AV98" s="72">
        <f t="shared" si="110"/>
        <v>0</v>
      </c>
      <c r="AW98" s="72">
        <f t="shared" si="111"/>
        <v>0</v>
      </c>
      <c r="AX98" s="72">
        <f t="shared" si="112"/>
        <v>0</v>
      </c>
      <c r="AY98" s="72">
        <f t="shared" si="113"/>
        <v>0</v>
      </c>
      <c r="AZ98" s="72">
        <f t="shared" si="114"/>
        <v>0</v>
      </c>
      <c r="BA98" s="72">
        <f t="shared" si="115"/>
        <v>0</v>
      </c>
      <c r="BB98" s="72">
        <f t="shared" si="116"/>
        <v>0</v>
      </c>
      <c r="BC98" s="72">
        <f t="shared" si="117"/>
        <v>0</v>
      </c>
      <c r="BD98" s="72">
        <f t="shared" si="118"/>
        <v>0</v>
      </c>
      <c r="BE98" s="72">
        <f t="shared" si="119"/>
        <v>0</v>
      </c>
      <c r="BF98" s="72">
        <f t="shared" si="120"/>
        <v>0</v>
      </c>
    </row>
    <row r="99" spans="1:58" x14ac:dyDescent="0.25">
      <c r="A99" s="34" t="s">
        <v>187</v>
      </c>
      <c r="B99" s="1" t="e">
        <f t="shared" si="123"/>
        <v>#N/A</v>
      </c>
      <c r="C99" s="1"/>
      <c r="D99" s="1"/>
      <c r="E99" t="s">
        <v>189</v>
      </c>
      <c r="F99" s="79"/>
      <c r="G99" s="1" t="s">
        <v>191</v>
      </c>
      <c r="H99" s="76"/>
      <c r="AC99" s="1">
        <f>SUM(I99:INDEX(I99:AB99,Level))+H99</f>
        <v>0</v>
      </c>
      <c r="AD99" s="45">
        <f t="shared" si="100"/>
        <v>-25</v>
      </c>
      <c r="AE99" s="45" cm="1">
        <f t="array" aca="1" ref="AE99" ca="1">IF(G99="NA",0,INDIRECT(LEFT(G99,2))+INDIRECT(MID(G99,4,2))+INDIRECT(RIGHT(G99,2)))</f>
        <v>0</v>
      </c>
      <c r="AF99" s="45">
        <f t="shared" si="121"/>
        <v>0</v>
      </c>
      <c r="AG99" s="45">
        <f t="shared" si="122"/>
        <v>0</v>
      </c>
      <c r="AH99" s="45"/>
      <c r="AI99" s="51">
        <f t="shared" ca="1" si="98"/>
        <v>-25</v>
      </c>
      <c r="AM99" s="72">
        <f t="shared" si="101"/>
        <v>0</v>
      </c>
      <c r="AN99" s="72">
        <f t="shared" si="102"/>
        <v>0</v>
      </c>
      <c r="AO99" s="72">
        <f t="shared" si="103"/>
        <v>0</v>
      </c>
      <c r="AP99" s="72">
        <f t="shared" si="104"/>
        <v>0</v>
      </c>
      <c r="AQ99" s="72">
        <f t="shared" si="105"/>
        <v>0</v>
      </c>
      <c r="AR99" s="72">
        <f t="shared" si="106"/>
        <v>0</v>
      </c>
      <c r="AS99" s="72">
        <f t="shared" si="107"/>
        <v>0</v>
      </c>
      <c r="AT99" s="72">
        <f t="shared" si="108"/>
        <v>0</v>
      </c>
      <c r="AU99" s="72">
        <f t="shared" si="109"/>
        <v>0</v>
      </c>
      <c r="AV99" s="72">
        <f t="shared" si="110"/>
        <v>0</v>
      </c>
      <c r="AW99" s="72">
        <f t="shared" si="111"/>
        <v>0</v>
      </c>
      <c r="AX99" s="72">
        <f t="shared" si="112"/>
        <v>0</v>
      </c>
      <c r="AY99" s="72">
        <f t="shared" si="113"/>
        <v>0</v>
      </c>
      <c r="AZ99" s="72">
        <f t="shared" si="114"/>
        <v>0</v>
      </c>
      <c r="BA99" s="72">
        <f t="shared" si="115"/>
        <v>0</v>
      </c>
      <c r="BB99" s="72">
        <f t="shared" si="116"/>
        <v>0</v>
      </c>
      <c r="BC99" s="72">
        <f t="shared" si="117"/>
        <v>0</v>
      </c>
      <c r="BD99" s="72">
        <f t="shared" si="118"/>
        <v>0</v>
      </c>
      <c r="BE99" s="72">
        <f t="shared" si="119"/>
        <v>0</v>
      </c>
      <c r="BF99" s="72">
        <f t="shared" si="120"/>
        <v>0</v>
      </c>
    </row>
    <row r="100" spans="1:58" x14ac:dyDescent="0.25">
      <c r="A100" s="34" t="s">
        <v>187</v>
      </c>
      <c r="B100" s="1" t="e">
        <f t="shared" si="123"/>
        <v>#N/A</v>
      </c>
      <c r="C100" s="1"/>
      <c r="D100" s="1"/>
      <c r="E100" t="s">
        <v>190</v>
      </c>
      <c r="F100" s="79"/>
      <c r="G100" s="1" t="s">
        <v>191</v>
      </c>
      <c r="H100" s="76"/>
      <c r="AC100" s="1">
        <f>SUM(I100:INDEX(I100:AB100,Level))+H100</f>
        <v>0</v>
      </c>
      <c r="AD100" s="45">
        <f t="shared" si="100"/>
        <v>-25</v>
      </c>
      <c r="AE100" s="45" cm="1">
        <f t="array" aca="1" ref="AE100" ca="1">IF(G100="NA",0,INDIRECT(LEFT(G100,2))+INDIRECT(MID(G100,4,2))+INDIRECT(RIGHT(G100,2)))</f>
        <v>0</v>
      </c>
      <c r="AF100" s="45">
        <f t="shared" si="121"/>
        <v>0</v>
      </c>
      <c r="AG100" s="45">
        <f t="shared" si="122"/>
        <v>0</v>
      </c>
      <c r="AH100" s="45"/>
      <c r="AI100" s="51">
        <f t="shared" ca="1" si="98"/>
        <v>-25</v>
      </c>
      <c r="AM100" s="72">
        <f t="shared" si="101"/>
        <v>0</v>
      </c>
      <c r="AN100" s="72">
        <f t="shared" si="102"/>
        <v>0</v>
      </c>
      <c r="AO100" s="72">
        <f t="shared" si="103"/>
        <v>0</v>
      </c>
      <c r="AP100" s="72">
        <f t="shared" si="104"/>
        <v>0</v>
      </c>
      <c r="AQ100" s="72">
        <f t="shared" si="105"/>
        <v>0</v>
      </c>
      <c r="AR100" s="72">
        <f t="shared" si="106"/>
        <v>0</v>
      </c>
      <c r="AS100" s="72">
        <f t="shared" si="107"/>
        <v>0</v>
      </c>
      <c r="AT100" s="72">
        <f t="shared" si="108"/>
        <v>0</v>
      </c>
      <c r="AU100" s="72">
        <f t="shared" si="109"/>
        <v>0</v>
      </c>
      <c r="AV100" s="72">
        <f t="shared" si="110"/>
        <v>0</v>
      </c>
      <c r="AW100" s="72">
        <f t="shared" si="111"/>
        <v>0</v>
      </c>
      <c r="AX100" s="72">
        <f t="shared" si="112"/>
        <v>0</v>
      </c>
      <c r="AY100" s="72">
        <f t="shared" si="113"/>
        <v>0</v>
      </c>
      <c r="AZ100" s="72">
        <f t="shared" si="114"/>
        <v>0</v>
      </c>
      <c r="BA100" s="72">
        <f t="shared" si="115"/>
        <v>0</v>
      </c>
      <c r="BB100" s="72">
        <f t="shared" si="116"/>
        <v>0</v>
      </c>
      <c r="BC100" s="72">
        <f t="shared" si="117"/>
        <v>0</v>
      </c>
      <c r="BD100" s="72">
        <f t="shared" si="118"/>
        <v>0</v>
      </c>
      <c r="BE100" s="72">
        <f t="shared" si="119"/>
        <v>0</v>
      </c>
      <c r="BF100" s="72">
        <f t="shared" si="120"/>
        <v>0</v>
      </c>
    </row>
    <row r="101" spans="1:58" x14ac:dyDescent="0.25">
      <c r="A101" s="34" t="s">
        <v>192</v>
      </c>
      <c r="B101" s="1" t="e">
        <f t="shared" si="123"/>
        <v>#N/A</v>
      </c>
      <c r="C101" s="1"/>
      <c r="D101" s="1"/>
      <c r="E101" t="s">
        <v>193</v>
      </c>
      <c r="F101" s="79"/>
      <c r="G101" s="1" t="s">
        <v>197</v>
      </c>
      <c r="H101" s="1" t="e">
        <f>Worksheet!P24</f>
        <v>#N/A</v>
      </c>
      <c r="AC101" s="1" t="e">
        <f>SUM(I101:INDEX(I101:AB101,Level))+H101</f>
        <v>#N/A</v>
      </c>
      <c r="AD101" s="45" t="e">
        <f t="shared" si="100"/>
        <v>#N/A</v>
      </c>
      <c r="AE101" s="45" cm="1">
        <f t="array" aca="1" ref="AE101" ca="1">IF(G101="NA",0,INDIRECT(LEFT(G101,2))+INDIRECT(MID(G101,4,2))+INDIRECT(RIGHT(G101,2)))</f>
        <v>8</v>
      </c>
      <c r="AF101" s="45">
        <f t="shared" si="121"/>
        <v>0</v>
      </c>
      <c r="AG101" s="45">
        <f t="shared" si="122"/>
        <v>0</v>
      </c>
      <c r="AH101" s="45"/>
      <c r="AI101" s="51" t="e">
        <f t="shared" si="98"/>
        <v>#N/A</v>
      </c>
      <c r="AM101" s="72">
        <f t="shared" si="101"/>
        <v>0</v>
      </c>
      <c r="AN101" s="72">
        <f t="shared" si="102"/>
        <v>0</v>
      </c>
      <c r="AO101" s="72">
        <f t="shared" si="103"/>
        <v>0</v>
      </c>
      <c r="AP101" s="72">
        <f t="shared" si="104"/>
        <v>0</v>
      </c>
      <c r="AQ101" s="72">
        <f t="shared" si="105"/>
        <v>0</v>
      </c>
      <c r="AR101" s="72">
        <f t="shared" si="106"/>
        <v>0</v>
      </c>
      <c r="AS101" s="72">
        <f t="shared" si="107"/>
        <v>0</v>
      </c>
      <c r="AT101" s="72">
        <f t="shared" si="108"/>
        <v>0</v>
      </c>
      <c r="AU101" s="72">
        <f t="shared" si="109"/>
        <v>0</v>
      </c>
      <c r="AV101" s="72">
        <f t="shared" si="110"/>
        <v>0</v>
      </c>
      <c r="AW101" s="72">
        <f t="shared" si="111"/>
        <v>0</v>
      </c>
      <c r="AX101" s="72">
        <f t="shared" si="112"/>
        <v>0</v>
      </c>
      <c r="AY101" s="72">
        <f t="shared" si="113"/>
        <v>0</v>
      </c>
      <c r="AZ101" s="72">
        <f t="shared" si="114"/>
        <v>0</v>
      </c>
      <c r="BA101" s="72">
        <f t="shared" si="115"/>
        <v>0</v>
      </c>
      <c r="BB101" s="72">
        <f t="shared" si="116"/>
        <v>0</v>
      </c>
      <c r="BC101" s="72">
        <f t="shared" si="117"/>
        <v>0</v>
      </c>
      <c r="BD101" s="72">
        <f t="shared" si="118"/>
        <v>0</v>
      </c>
      <c r="BE101" s="72">
        <f t="shared" si="119"/>
        <v>0</v>
      </c>
      <c r="BF101" s="72">
        <f t="shared" si="120"/>
        <v>0</v>
      </c>
    </row>
    <row r="102" spans="1:58" x14ac:dyDescent="0.25">
      <c r="A102" s="34" t="s">
        <v>192</v>
      </c>
      <c r="B102" s="1" t="e">
        <f t="shared" si="123"/>
        <v>#N/A</v>
      </c>
      <c r="C102" s="1"/>
      <c r="D102" s="1"/>
      <c r="E102" t="s">
        <v>194</v>
      </c>
      <c r="F102" s="79"/>
      <c r="G102" s="1" t="s">
        <v>197</v>
      </c>
      <c r="H102" s="76"/>
      <c r="AC102" s="1">
        <f>SUM(I102:INDEX(I102:AB102,Level))+H102</f>
        <v>0</v>
      </c>
      <c r="AD102" s="45">
        <f t="shared" si="100"/>
        <v>-25</v>
      </c>
      <c r="AE102" s="45" cm="1">
        <f t="array" aca="1" ref="AE102" ca="1">IF(G102="NA",0,INDIRECT(LEFT(G102,2))+INDIRECT(MID(G102,4,2))+INDIRECT(RIGHT(G102,2)))</f>
        <v>8</v>
      </c>
      <c r="AF102" s="45">
        <f t="shared" si="121"/>
        <v>0</v>
      </c>
      <c r="AG102" s="45">
        <f t="shared" si="122"/>
        <v>0</v>
      </c>
      <c r="AH102" s="45"/>
      <c r="AI102" s="51">
        <f t="shared" ca="1" si="98"/>
        <v>-17</v>
      </c>
      <c r="AM102" s="72">
        <f t="shared" si="101"/>
        <v>0</v>
      </c>
      <c r="AN102" s="72">
        <f t="shared" si="102"/>
        <v>0</v>
      </c>
      <c r="AO102" s="72">
        <f t="shared" si="103"/>
        <v>0</v>
      </c>
      <c r="AP102" s="72">
        <f t="shared" si="104"/>
        <v>0</v>
      </c>
      <c r="AQ102" s="72">
        <f t="shared" si="105"/>
        <v>0</v>
      </c>
      <c r="AR102" s="72">
        <f t="shared" si="106"/>
        <v>0</v>
      </c>
      <c r="AS102" s="72">
        <f t="shared" si="107"/>
        <v>0</v>
      </c>
      <c r="AT102" s="72">
        <f t="shared" si="108"/>
        <v>0</v>
      </c>
      <c r="AU102" s="72">
        <f t="shared" si="109"/>
        <v>0</v>
      </c>
      <c r="AV102" s="72">
        <f t="shared" si="110"/>
        <v>0</v>
      </c>
      <c r="AW102" s="72">
        <f t="shared" si="111"/>
        <v>0</v>
      </c>
      <c r="AX102" s="72">
        <f t="shared" si="112"/>
        <v>0</v>
      </c>
      <c r="AY102" s="72">
        <f t="shared" si="113"/>
        <v>0</v>
      </c>
      <c r="AZ102" s="72">
        <f t="shared" si="114"/>
        <v>0</v>
      </c>
      <c r="BA102" s="72">
        <f t="shared" si="115"/>
        <v>0</v>
      </c>
      <c r="BB102" s="72">
        <f t="shared" si="116"/>
        <v>0</v>
      </c>
      <c r="BC102" s="72">
        <f t="shared" si="117"/>
        <v>0</v>
      </c>
      <c r="BD102" s="72">
        <f t="shared" si="118"/>
        <v>0</v>
      </c>
      <c r="BE102" s="72">
        <f t="shared" si="119"/>
        <v>0</v>
      </c>
      <c r="BF102" s="72">
        <f t="shared" si="120"/>
        <v>0</v>
      </c>
    </row>
    <row r="103" spans="1:58" x14ac:dyDescent="0.25">
      <c r="A103" s="34" t="s">
        <v>192</v>
      </c>
      <c r="B103" s="1" t="e">
        <f t="shared" si="123"/>
        <v>#N/A</v>
      </c>
      <c r="C103" s="1"/>
      <c r="D103" s="1"/>
      <c r="E103" t="s">
        <v>195</v>
      </c>
      <c r="F103" s="79"/>
      <c r="G103" s="1" t="s">
        <v>197</v>
      </c>
      <c r="H103" s="1" t="e">
        <f>Worksheet!P25</f>
        <v>#N/A</v>
      </c>
      <c r="AC103" s="1" t="e">
        <f>SUM(I103:INDEX(I103:AB103,Level))+H103</f>
        <v>#N/A</v>
      </c>
      <c r="AD103" s="45" t="e">
        <f t="shared" si="100"/>
        <v>#N/A</v>
      </c>
      <c r="AE103" s="45" cm="1">
        <f t="array" aca="1" ref="AE103" ca="1">IF(G103="NA",0,INDIRECT(LEFT(G103,2))+INDIRECT(MID(G103,4,2))+INDIRECT(RIGHT(G103,2)))</f>
        <v>8</v>
      </c>
      <c r="AF103" s="45">
        <f t="shared" si="121"/>
        <v>0</v>
      </c>
      <c r="AG103" s="45">
        <f t="shared" si="122"/>
        <v>0</v>
      </c>
      <c r="AH103" s="45"/>
      <c r="AI103" s="51" t="e">
        <f t="shared" si="98"/>
        <v>#N/A</v>
      </c>
      <c r="AM103" s="72">
        <f t="shared" si="101"/>
        <v>0</v>
      </c>
      <c r="AN103" s="72">
        <f t="shared" si="102"/>
        <v>0</v>
      </c>
      <c r="AO103" s="72">
        <f t="shared" si="103"/>
        <v>0</v>
      </c>
      <c r="AP103" s="72">
        <f t="shared" si="104"/>
        <v>0</v>
      </c>
      <c r="AQ103" s="72">
        <f t="shared" si="105"/>
        <v>0</v>
      </c>
      <c r="AR103" s="72">
        <f t="shared" si="106"/>
        <v>0</v>
      </c>
      <c r="AS103" s="72">
        <f t="shared" si="107"/>
        <v>0</v>
      </c>
      <c r="AT103" s="72">
        <f t="shared" si="108"/>
        <v>0</v>
      </c>
      <c r="AU103" s="72">
        <f t="shared" si="109"/>
        <v>0</v>
      </c>
      <c r="AV103" s="72">
        <f t="shared" si="110"/>
        <v>0</v>
      </c>
      <c r="AW103" s="72">
        <f t="shared" si="111"/>
        <v>0</v>
      </c>
      <c r="AX103" s="72">
        <f t="shared" si="112"/>
        <v>0</v>
      </c>
      <c r="AY103" s="72">
        <f t="shared" si="113"/>
        <v>0</v>
      </c>
      <c r="AZ103" s="72">
        <f t="shared" si="114"/>
        <v>0</v>
      </c>
      <c r="BA103" s="72">
        <f t="shared" si="115"/>
        <v>0</v>
      </c>
      <c r="BB103" s="72">
        <f t="shared" si="116"/>
        <v>0</v>
      </c>
      <c r="BC103" s="72">
        <f t="shared" si="117"/>
        <v>0</v>
      </c>
      <c r="BD103" s="72">
        <f t="shared" si="118"/>
        <v>0</v>
      </c>
      <c r="BE103" s="72">
        <f t="shared" si="119"/>
        <v>0</v>
      </c>
      <c r="BF103" s="72">
        <f t="shared" si="120"/>
        <v>0</v>
      </c>
    </row>
    <row r="104" spans="1:58" x14ac:dyDescent="0.25">
      <c r="A104" s="34" t="s">
        <v>192</v>
      </c>
      <c r="B104" s="1" t="e">
        <f t="shared" si="123"/>
        <v>#N/A</v>
      </c>
      <c r="C104" s="1"/>
      <c r="D104" s="1"/>
      <c r="E104" t="s">
        <v>196</v>
      </c>
      <c r="F104" s="79"/>
      <c r="G104" s="1" t="s">
        <v>197</v>
      </c>
      <c r="H104" s="1" t="e">
        <f>Worksheet!P28</f>
        <v>#N/A</v>
      </c>
      <c r="AC104" s="1" t="e">
        <f>SUM(I104:INDEX(I104:AB104,Level))+H104</f>
        <v>#N/A</v>
      </c>
      <c r="AD104" s="45" t="e">
        <f t="shared" si="100"/>
        <v>#N/A</v>
      </c>
      <c r="AE104" s="45" cm="1">
        <f t="array" aca="1" ref="AE104" ca="1">IF(G104="NA",0,INDIRECT(LEFT(G104,2))+INDIRECT(MID(G104,4,2))+INDIRECT(RIGHT(G104,2)))</f>
        <v>8</v>
      </c>
      <c r="AF104" s="45">
        <f t="shared" si="121"/>
        <v>0</v>
      </c>
      <c r="AG104" s="45">
        <f t="shared" si="122"/>
        <v>0</v>
      </c>
      <c r="AH104" s="45"/>
      <c r="AI104" s="51" t="e">
        <f t="shared" si="98"/>
        <v>#N/A</v>
      </c>
      <c r="AM104" s="72">
        <f t="shared" si="101"/>
        <v>0</v>
      </c>
      <c r="AN104" s="72">
        <f t="shared" si="102"/>
        <v>0</v>
      </c>
      <c r="AO104" s="72">
        <f t="shared" si="103"/>
        <v>0</v>
      </c>
      <c r="AP104" s="72">
        <f t="shared" si="104"/>
        <v>0</v>
      </c>
      <c r="AQ104" s="72">
        <f t="shared" si="105"/>
        <v>0</v>
      </c>
      <c r="AR104" s="72">
        <f t="shared" si="106"/>
        <v>0</v>
      </c>
      <c r="AS104" s="72">
        <f t="shared" si="107"/>
        <v>0</v>
      </c>
      <c r="AT104" s="72">
        <f t="shared" si="108"/>
        <v>0</v>
      </c>
      <c r="AU104" s="72">
        <f t="shared" si="109"/>
        <v>0</v>
      </c>
      <c r="AV104" s="72">
        <f t="shared" si="110"/>
        <v>0</v>
      </c>
      <c r="AW104" s="72">
        <f t="shared" si="111"/>
        <v>0</v>
      </c>
      <c r="AX104" s="72">
        <f t="shared" si="112"/>
        <v>0</v>
      </c>
      <c r="AY104" s="72">
        <f t="shared" si="113"/>
        <v>0</v>
      </c>
      <c r="AZ104" s="72">
        <f t="shared" si="114"/>
        <v>0</v>
      </c>
      <c r="BA104" s="72">
        <f t="shared" si="115"/>
        <v>0</v>
      </c>
      <c r="BB104" s="72">
        <f t="shared" si="116"/>
        <v>0</v>
      </c>
      <c r="BC104" s="72">
        <f t="shared" si="117"/>
        <v>0</v>
      </c>
      <c r="BD104" s="72">
        <f t="shared" si="118"/>
        <v>0</v>
      </c>
      <c r="BE104" s="72">
        <f t="shared" si="119"/>
        <v>0</v>
      </c>
      <c r="BF104" s="72">
        <f t="shared" si="120"/>
        <v>0</v>
      </c>
    </row>
    <row r="105" spans="1:58" x14ac:dyDescent="0.25">
      <c r="A105" s="34" t="s">
        <v>198</v>
      </c>
      <c r="B105" s="1" t="e">
        <f t="shared" si="123"/>
        <v>#N/A</v>
      </c>
      <c r="C105" s="1"/>
      <c r="D105" s="1"/>
      <c r="E105" t="s">
        <v>199</v>
      </c>
      <c r="F105" s="79"/>
      <c r="G105" s="1" t="s">
        <v>202</v>
      </c>
      <c r="H105" s="1">
        <f>Worksheet!P74</f>
        <v>0</v>
      </c>
      <c r="AC105" s="1">
        <f>SUM(I105:INDEX(I105:AB105,Level))+H105</f>
        <v>0</v>
      </c>
      <c r="AD105" s="45">
        <f t="shared" si="100"/>
        <v>-25</v>
      </c>
      <c r="AE105" s="45" cm="1">
        <f t="array" aca="1" ref="AE105" ca="1">IF(G105="NA",0,INDIRECT(LEFT(G105,2))+INDIRECT(MID(G105,4,2))+INDIRECT(RIGHT(G105,2)))</f>
        <v>0</v>
      </c>
      <c r="AF105" s="45">
        <f t="shared" si="121"/>
        <v>0</v>
      </c>
      <c r="AG105" s="45">
        <f t="shared" si="122"/>
        <v>0</v>
      </c>
      <c r="AH105" s="45"/>
      <c r="AI105" s="51">
        <f t="shared" ca="1" si="98"/>
        <v>-25</v>
      </c>
      <c r="AM105" s="72">
        <f t="shared" si="101"/>
        <v>0</v>
      </c>
      <c r="AN105" s="72">
        <f t="shared" si="102"/>
        <v>0</v>
      </c>
      <c r="AO105" s="72">
        <f t="shared" si="103"/>
        <v>0</v>
      </c>
      <c r="AP105" s="72">
        <f t="shared" si="104"/>
        <v>0</v>
      </c>
      <c r="AQ105" s="72">
        <f t="shared" si="105"/>
        <v>0</v>
      </c>
      <c r="AR105" s="72">
        <f t="shared" si="106"/>
        <v>0</v>
      </c>
      <c r="AS105" s="72">
        <f t="shared" si="107"/>
        <v>0</v>
      </c>
      <c r="AT105" s="72">
        <f t="shared" si="108"/>
        <v>0</v>
      </c>
      <c r="AU105" s="72">
        <f t="shared" si="109"/>
        <v>0</v>
      </c>
      <c r="AV105" s="72">
        <f t="shared" si="110"/>
        <v>0</v>
      </c>
      <c r="AW105" s="72">
        <f t="shared" si="111"/>
        <v>0</v>
      </c>
      <c r="AX105" s="72">
        <f t="shared" si="112"/>
        <v>0</v>
      </c>
      <c r="AY105" s="72">
        <f t="shared" si="113"/>
        <v>0</v>
      </c>
      <c r="AZ105" s="72">
        <f t="shared" si="114"/>
        <v>0</v>
      </c>
      <c r="BA105" s="72">
        <f t="shared" si="115"/>
        <v>0</v>
      </c>
      <c r="BB105" s="72">
        <f t="shared" si="116"/>
        <v>0</v>
      </c>
      <c r="BC105" s="72">
        <f t="shared" si="117"/>
        <v>0</v>
      </c>
      <c r="BD105" s="72">
        <f t="shared" si="118"/>
        <v>0</v>
      </c>
      <c r="BE105" s="72">
        <f t="shared" si="119"/>
        <v>0</v>
      </c>
      <c r="BF105" s="72">
        <f t="shared" si="120"/>
        <v>0</v>
      </c>
    </row>
    <row r="106" spans="1:58" x14ac:dyDescent="0.25">
      <c r="A106" s="34" t="s">
        <v>198</v>
      </c>
      <c r="B106" s="1" t="e">
        <f t="shared" si="123"/>
        <v>#N/A</v>
      </c>
      <c r="C106" s="1"/>
      <c r="D106" s="1"/>
      <c r="E106" t="s">
        <v>200</v>
      </c>
      <c r="F106" s="77">
        <f>Worksheet!L75</f>
        <v>0</v>
      </c>
      <c r="G106" s="1" t="s">
        <v>202</v>
      </c>
      <c r="H106" s="1">
        <f>Worksheet!P75</f>
        <v>0</v>
      </c>
      <c r="AC106" s="1">
        <f>SUM(I106:INDEX(I106:AB106,Level))+H106</f>
        <v>0</v>
      </c>
      <c r="AD106" s="45">
        <f t="shared" si="100"/>
        <v>-25</v>
      </c>
      <c r="AE106" s="45" cm="1">
        <f t="array" aca="1" ref="AE106" ca="1">IF(G106="NA",0,INDIRECT(LEFT(G106,2))+INDIRECT(MID(G106,4,2))+INDIRECT(RIGHT(G106,2)))</f>
        <v>0</v>
      </c>
      <c r="AF106" s="45">
        <f t="shared" si="121"/>
        <v>0</v>
      </c>
      <c r="AG106" s="45">
        <f t="shared" si="122"/>
        <v>0</v>
      </c>
      <c r="AH106" s="45"/>
      <c r="AI106" s="51">
        <f t="shared" ca="1" si="98"/>
        <v>-25</v>
      </c>
      <c r="AM106" s="72">
        <f t="shared" si="101"/>
        <v>0</v>
      </c>
      <c r="AN106" s="72">
        <f t="shared" si="102"/>
        <v>0</v>
      </c>
      <c r="AO106" s="72">
        <f t="shared" si="103"/>
        <v>0</v>
      </c>
      <c r="AP106" s="72">
        <f t="shared" si="104"/>
        <v>0</v>
      </c>
      <c r="AQ106" s="72">
        <f t="shared" si="105"/>
        <v>0</v>
      </c>
      <c r="AR106" s="72">
        <f t="shared" si="106"/>
        <v>0</v>
      </c>
      <c r="AS106" s="72">
        <f t="shared" si="107"/>
        <v>0</v>
      </c>
      <c r="AT106" s="72">
        <f t="shared" si="108"/>
        <v>0</v>
      </c>
      <c r="AU106" s="72">
        <f t="shared" si="109"/>
        <v>0</v>
      </c>
      <c r="AV106" s="72">
        <f t="shared" si="110"/>
        <v>0</v>
      </c>
      <c r="AW106" s="72">
        <f t="shared" si="111"/>
        <v>0</v>
      </c>
      <c r="AX106" s="72">
        <f t="shared" si="112"/>
        <v>0</v>
      </c>
      <c r="AY106" s="72">
        <f t="shared" si="113"/>
        <v>0</v>
      </c>
      <c r="AZ106" s="72">
        <f t="shared" si="114"/>
        <v>0</v>
      </c>
      <c r="BA106" s="72">
        <f t="shared" si="115"/>
        <v>0</v>
      </c>
      <c r="BB106" s="72">
        <f t="shared" si="116"/>
        <v>0</v>
      </c>
      <c r="BC106" s="72">
        <f t="shared" si="117"/>
        <v>0</v>
      </c>
      <c r="BD106" s="72">
        <f t="shared" si="118"/>
        <v>0</v>
      </c>
      <c r="BE106" s="72">
        <f t="shared" si="119"/>
        <v>0</v>
      </c>
      <c r="BF106" s="72">
        <f t="shared" si="120"/>
        <v>0</v>
      </c>
    </row>
    <row r="107" spans="1:58" x14ac:dyDescent="0.25">
      <c r="A107" s="34" t="s">
        <v>198</v>
      </c>
      <c r="B107" s="1" t="e">
        <f t="shared" si="123"/>
        <v>#N/A</v>
      </c>
      <c r="C107" s="1"/>
      <c r="D107" s="1"/>
      <c r="E107" t="s">
        <v>200</v>
      </c>
      <c r="F107" s="77">
        <f>Worksheet!L76</f>
        <v>0</v>
      </c>
      <c r="G107" s="1" t="s">
        <v>202</v>
      </c>
      <c r="H107" s="1">
        <f>Worksheet!P76</f>
        <v>0</v>
      </c>
      <c r="AC107" s="1">
        <f>SUM(I107:INDEX(I107:AB107,Level))+H107</f>
        <v>0</v>
      </c>
      <c r="AD107" s="45">
        <f t="shared" si="100"/>
        <v>-25</v>
      </c>
      <c r="AE107" s="45" cm="1">
        <f t="array" aca="1" ref="AE107" ca="1">IF(G107="NA",0,INDIRECT(LEFT(G107,2))+INDIRECT(MID(G107,4,2))+INDIRECT(RIGHT(G107,2)))</f>
        <v>0</v>
      </c>
      <c r="AF107" s="45">
        <f t="shared" si="121"/>
        <v>0</v>
      </c>
      <c r="AG107" s="45">
        <f t="shared" si="122"/>
        <v>0</v>
      </c>
      <c r="AH107" s="45"/>
      <c r="AI107" s="51">
        <f t="shared" ca="1" si="98"/>
        <v>-25</v>
      </c>
      <c r="AM107" s="72">
        <f t="shared" si="101"/>
        <v>0</v>
      </c>
      <c r="AN107" s="72">
        <f t="shared" si="102"/>
        <v>0</v>
      </c>
      <c r="AO107" s="72">
        <f t="shared" si="103"/>
        <v>0</v>
      </c>
      <c r="AP107" s="72">
        <f t="shared" si="104"/>
        <v>0</v>
      </c>
      <c r="AQ107" s="72">
        <f t="shared" si="105"/>
        <v>0</v>
      </c>
      <c r="AR107" s="72">
        <f t="shared" si="106"/>
        <v>0</v>
      </c>
      <c r="AS107" s="72">
        <f t="shared" si="107"/>
        <v>0</v>
      </c>
      <c r="AT107" s="72">
        <f t="shared" si="108"/>
        <v>0</v>
      </c>
      <c r="AU107" s="72">
        <f t="shared" si="109"/>
        <v>0</v>
      </c>
      <c r="AV107" s="72">
        <f t="shared" si="110"/>
        <v>0</v>
      </c>
      <c r="AW107" s="72">
        <f t="shared" si="111"/>
        <v>0</v>
      </c>
      <c r="AX107" s="72">
        <f t="shared" si="112"/>
        <v>0</v>
      </c>
      <c r="AY107" s="72">
        <f t="shared" si="113"/>
        <v>0</v>
      </c>
      <c r="AZ107" s="72">
        <f t="shared" si="114"/>
        <v>0</v>
      </c>
      <c r="BA107" s="72">
        <f t="shared" si="115"/>
        <v>0</v>
      </c>
      <c r="BB107" s="72">
        <f t="shared" si="116"/>
        <v>0</v>
      </c>
      <c r="BC107" s="72">
        <f t="shared" si="117"/>
        <v>0</v>
      </c>
      <c r="BD107" s="72">
        <f t="shared" si="118"/>
        <v>0</v>
      </c>
      <c r="BE107" s="72">
        <f t="shared" si="119"/>
        <v>0</v>
      </c>
      <c r="BF107" s="72">
        <f t="shared" si="120"/>
        <v>0</v>
      </c>
    </row>
    <row r="108" spans="1:58" x14ac:dyDescent="0.25">
      <c r="A108" s="34" t="s">
        <v>198</v>
      </c>
      <c r="B108" s="1" t="e">
        <f t="shared" si="123"/>
        <v>#N/A</v>
      </c>
      <c r="C108" s="1"/>
      <c r="D108" s="1"/>
      <c r="E108" t="s">
        <v>201</v>
      </c>
      <c r="F108" s="79"/>
      <c r="G108" s="1" t="s">
        <v>203</v>
      </c>
      <c r="H108" s="1">
        <f>Worksheet!P77</f>
        <v>0</v>
      </c>
      <c r="AC108" s="1">
        <f>SUM(I108:INDEX(I108:AB108,Level))+H108</f>
        <v>0</v>
      </c>
      <c r="AD108" s="45">
        <f t="shared" si="100"/>
        <v>-25</v>
      </c>
      <c r="AE108" s="45" cm="1">
        <f t="array" aca="1" ref="AE108" ca="1">IF(G108="NA",0,INDIRECT(LEFT(G108,2))+INDIRECT(MID(G108,4,2))+INDIRECT(RIGHT(G108,2)))</f>
        <v>0</v>
      </c>
      <c r="AF108" s="45">
        <f t="shared" si="121"/>
        <v>0</v>
      </c>
      <c r="AG108" s="45">
        <f t="shared" si="122"/>
        <v>0</v>
      </c>
      <c r="AH108" s="45"/>
      <c r="AI108" s="51">
        <f t="shared" ca="1" si="98"/>
        <v>-25</v>
      </c>
      <c r="AM108" s="72">
        <f t="shared" si="101"/>
        <v>0</v>
      </c>
      <c r="AN108" s="72">
        <f t="shared" si="102"/>
        <v>0</v>
      </c>
      <c r="AO108" s="72">
        <f t="shared" si="103"/>
        <v>0</v>
      </c>
      <c r="AP108" s="72">
        <f t="shared" si="104"/>
        <v>0</v>
      </c>
      <c r="AQ108" s="72">
        <f t="shared" si="105"/>
        <v>0</v>
      </c>
      <c r="AR108" s="72">
        <f t="shared" si="106"/>
        <v>0</v>
      </c>
      <c r="AS108" s="72">
        <f t="shared" si="107"/>
        <v>0</v>
      </c>
      <c r="AT108" s="72">
        <f t="shared" si="108"/>
        <v>0</v>
      </c>
      <c r="AU108" s="72">
        <f t="shared" si="109"/>
        <v>0</v>
      </c>
      <c r="AV108" s="72">
        <f t="shared" si="110"/>
        <v>0</v>
      </c>
      <c r="AW108" s="72">
        <f t="shared" si="111"/>
        <v>0</v>
      </c>
      <c r="AX108" s="72">
        <f t="shared" si="112"/>
        <v>0</v>
      </c>
      <c r="AY108" s="72">
        <f t="shared" si="113"/>
        <v>0</v>
      </c>
      <c r="AZ108" s="72">
        <f t="shared" si="114"/>
        <v>0</v>
      </c>
      <c r="BA108" s="72">
        <f t="shared" si="115"/>
        <v>0</v>
      </c>
      <c r="BB108" s="72">
        <f t="shared" si="116"/>
        <v>0</v>
      </c>
      <c r="BC108" s="72">
        <f t="shared" si="117"/>
        <v>0</v>
      </c>
      <c r="BD108" s="72">
        <f t="shared" si="118"/>
        <v>0</v>
      </c>
      <c r="BE108" s="72">
        <f t="shared" si="119"/>
        <v>0</v>
      </c>
      <c r="BF108" s="72">
        <f t="shared" si="120"/>
        <v>0</v>
      </c>
    </row>
    <row r="109" spans="1:58" x14ac:dyDescent="0.25">
      <c r="A109" s="34" t="s">
        <v>204</v>
      </c>
      <c r="B109" s="1" t="e">
        <f t="shared" si="123"/>
        <v>#N/A</v>
      </c>
      <c r="C109" s="1"/>
      <c r="D109" s="1"/>
      <c r="E109" t="s">
        <v>70</v>
      </c>
      <c r="F109" s="79"/>
      <c r="G109" s="1" t="s">
        <v>208</v>
      </c>
      <c r="H109" s="76"/>
      <c r="AC109" s="1">
        <f>SUM(I109:INDEX(I109:AB109,Level))+H109</f>
        <v>0</v>
      </c>
      <c r="AD109" s="45">
        <f t="shared" ref="AD109:AD139" si="124">IF(AC109&gt;30,100+AC109,VLOOKUP(AC109,Rank_Bonus,2,FALSE))</f>
        <v>-25</v>
      </c>
      <c r="AE109" s="45" cm="1">
        <f t="array" aca="1" ref="AE109" ca="1">IF(G109="NA",0,INDIRECT(LEFT(G109,2))+INDIRECT(MID(G109,4,2))+INDIRECT(RIGHT(G109,2)))</f>
        <v>0</v>
      </c>
      <c r="AF109" s="45">
        <f t="shared" si="121"/>
        <v>0</v>
      </c>
      <c r="AG109" s="45">
        <f t="shared" si="122"/>
        <v>0</v>
      </c>
      <c r="AH109" s="45"/>
      <c r="AI109" s="51">
        <f t="shared" ca="1" si="98"/>
        <v>-25</v>
      </c>
      <c r="AM109" s="72">
        <f t="shared" ref="AM109:AM139" si="125">_xlfn.NUMBERVALUE(IF(I109=0,0,IF(I109=1,LEFT($B109,FIND("/",$B109)-1),SUM(LEFT($B109,FIND("/",$B109)-1),RIGHT($B109,LEN($B109)-FIND("/",$B109))))))</f>
        <v>0</v>
      </c>
      <c r="AN109" s="72">
        <f t="shared" ref="AN109:AN139" si="126">_xlfn.NUMBERVALUE(IF(J109=0,0,IF(J109=1,LEFT($B109,FIND("/",$B109)-1),SUM(LEFT($B109,FIND("/",$B109)-1),RIGHT($B109,LEN($B109)-FIND("/",$B109))))))</f>
        <v>0</v>
      </c>
      <c r="AO109" s="72">
        <f t="shared" ref="AO109:AO139" si="127">_xlfn.NUMBERVALUE(IF(K109=0,0,IF(K109=1,LEFT($B109,FIND("/",$B109)-1),SUM(LEFT($B109,FIND("/",$B109)-1),RIGHT($B109,LEN($B109)-FIND("/",$B109))))))</f>
        <v>0</v>
      </c>
      <c r="AP109" s="72">
        <f t="shared" ref="AP109:AP139" si="128">_xlfn.NUMBERVALUE(IF(L109=0,0,IF(L109=1,LEFT($B109,FIND("/",$B109)-1),SUM(LEFT($B109,FIND("/",$B109)-1),RIGHT($B109,LEN($B109)-FIND("/",$B109))))))</f>
        <v>0</v>
      </c>
      <c r="AQ109" s="72">
        <f t="shared" ref="AQ109:AQ139" si="129">_xlfn.NUMBERVALUE(IF(M109=0,0,IF(M109=1,LEFT($B109,FIND("/",$B109)-1),SUM(LEFT($B109,FIND("/",$B109)-1),RIGHT($B109,LEN($B109)-FIND("/",$B109))))))</f>
        <v>0</v>
      </c>
      <c r="AR109" s="72">
        <f t="shared" ref="AR109:AR139" si="130">_xlfn.NUMBERVALUE(IF(N109=0,0,IF(N109=1,LEFT($B109,FIND("/",$B109)-1),SUM(LEFT($B109,FIND("/",$B109)-1),RIGHT($B109,LEN($B109)-FIND("/",$B109))))))</f>
        <v>0</v>
      </c>
      <c r="AS109" s="72">
        <f t="shared" ref="AS109:AS139" si="131">_xlfn.NUMBERVALUE(IF(O109=0,0,IF(O109=1,LEFT($B109,FIND("/",$B109)-1),SUM(LEFT($B109,FIND("/",$B109)-1),RIGHT($B109,LEN($B109)-FIND("/",$B109))))))</f>
        <v>0</v>
      </c>
      <c r="AT109" s="72">
        <f t="shared" ref="AT109:AT139" si="132">_xlfn.NUMBERVALUE(IF(P109=0,0,IF(P109=1,LEFT($B109,FIND("/",$B109)-1),SUM(LEFT($B109,FIND("/",$B109)-1),RIGHT($B109,LEN($B109)-FIND("/",$B109))))))</f>
        <v>0</v>
      </c>
      <c r="AU109" s="72">
        <f t="shared" ref="AU109:AU139" si="133">_xlfn.NUMBERVALUE(IF(Q109=0,0,IF(Q109=1,LEFT($B109,FIND("/",$B109)-1),SUM(LEFT($B109,FIND("/",$B109)-1),RIGHT($B109,LEN($B109)-FIND("/",$B109))))))</f>
        <v>0</v>
      </c>
      <c r="AV109" s="72">
        <f t="shared" ref="AV109:AV139" si="134">_xlfn.NUMBERVALUE(IF(R109=0,0,IF(R109=1,LEFT($B109,FIND("/",$B109)-1),SUM(LEFT($B109,FIND("/",$B109)-1),RIGHT($B109,LEN($B109)-FIND("/",$B109))))))</f>
        <v>0</v>
      </c>
      <c r="AW109" s="72">
        <f t="shared" ref="AW109:AW139" si="135">_xlfn.NUMBERVALUE(IF(S109=0,0,IF(S109=1,LEFT($B109,FIND("/",$B109)-1),SUM(LEFT($B109,FIND("/",$B109)-1),RIGHT($B109,LEN($B109)-FIND("/",$B109))))))</f>
        <v>0</v>
      </c>
      <c r="AX109" s="72">
        <f t="shared" ref="AX109:AX139" si="136">_xlfn.NUMBERVALUE(IF(T109=0,0,IF(T109=1,LEFT($B109,FIND("/",$B109)-1),SUM(LEFT($B109,FIND("/",$B109)-1),RIGHT($B109,LEN($B109)-FIND("/",$B109))))))</f>
        <v>0</v>
      </c>
      <c r="AY109" s="72">
        <f t="shared" ref="AY109:AY139" si="137">_xlfn.NUMBERVALUE(IF(U109=0,0,IF(U109=1,LEFT($B109,FIND("/",$B109)-1),SUM(LEFT($B109,FIND("/",$B109)-1),RIGHT($B109,LEN($B109)-FIND("/",$B109))))))</f>
        <v>0</v>
      </c>
      <c r="AZ109" s="72">
        <f t="shared" ref="AZ109:AZ139" si="138">_xlfn.NUMBERVALUE(IF(V109=0,0,IF(V109=1,LEFT($B109,FIND("/",$B109)-1),SUM(LEFT($B109,FIND("/",$B109)-1),RIGHT($B109,LEN($B109)-FIND("/",$B109))))))</f>
        <v>0</v>
      </c>
      <c r="BA109" s="72">
        <f t="shared" ref="BA109:BA139" si="139">_xlfn.NUMBERVALUE(IF(W109=0,0,IF(W109=1,LEFT($B109,FIND("/",$B109)-1),SUM(LEFT($B109,FIND("/",$B109)-1),RIGHT($B109,LEN($B109)-FIND("/",$B109))))))</f>
        <v>0</v>
      </c>
      <c r="BB109" s="72">
        <f t="shared" ref="BB109:BB139" si="140">_xlfn.NUMBERVALUE(IF(X109=0,0,IF(X109=1,LEFT($B109,FIND("/",$B109)-1),SUM(LEFT($B109,FIND("/",$B109)-1),RIGHT($B109,LEN($B109)-FIND("/",$B109))))))</f>
        <v>0</v>
      </c>
      <c r="BC109" s="72">
        <f t="shared" ref="BC109:BC139" si="141">_xlfn.NUMBERVALUE(IF(Y109=0,0,IF(Y109=1,LEFT($B109,FIND("/",$B109)-1),SUM(LEFT($B109,FIND("/",$B109)-1),RIGHT($B109,LEN($B109)-FIND("/",$B109))))))</f>
        <v>0</v>
      </c>
      <c r="BD109" s="72">
        <f t="shared" ref="BD109:BD139" si="142">_xlfn.NUMBERVALUE(IF(Z109=0,0,IF(Z109=1,LEFT($B109,FIND("/",$B109)-1),SUM(LEFT($B109,FIND("/",$B109)-1),RIGHT($B109,LEN($B109)-FIND("/",$B109))))))</f>
        <v>0</v>
      </c>
      <c r="BE109" s="72">
        <f t="shared" ref="BE109:BE139" si="143">_xlfn.NUMBERVALUE(IF(AA109=0,0,IF(AA109=1,LEFT($B109,FIND("/",$B109)-1),SUM(LEFT($B109,FIND("/",$B109)-1),RIGHT($B109,LEN($B109)-FIND("/",$B109))))))</f>
        <v>0</v>
      </c>
      <c r="BF109" s="72">
        <f t="shared" ref="BF109:BF139" si="144">_xlfn.NUMBERVALUE(IF(AB109=0,0,IF(AB109=1,LEFT($B109,FIND("/",$B109)-1),SUM(LEFT($B109,FIND("/",$B109)-1),RIGHT($B109,LEN($B109)-FIND("/",$B109))))))</f>
        <v>0</v>
      </c>
    </row>
    <row r="110" spans="1:58" x14ac:dyDescent="0.25">
      <c r="A110" s="34" t="s">
        <v>204</v>
      </c>
      <c r="B110" s="1" t="e">
        <f t="shared" si="123"/>
        <v>#N/A</v>
      </c>
      <c r="C110" s="1"/>
      <c r="D110" s="1"/>
      <c r="E110" t="s">
        <v>205</v>
      </c>
      <c r="F110" s="77" t="s">
        <v>528</v>
      </c>
      <c r="G110" s="1" t="s">
        <v>209</v>
      </c>
      <c r="H110" s="76"/>
      <c r="AC110" s="1">
        <f>SUM(I110:INDEX(I110:AB110,Level))+H110</f>
        <v>0</v>
      </c>
      <c r="AD110" s="45">
        <f t="shared" si="124"/>
        <v>-25</v>
      </c>
      <c r="AE110" s="45" cm="1">
        <f t="array" aca="1" ref="AE110" ca="1">IF(G110="NA",0,INDIRECT(LEFT(G110,2))+INDIRECT(MID(G110,4,2))+INDIRECT(RIGHT(G110,2)))</f>
        <v>0</v>
      </c>
      <c r="AF110" s="45">
        <f t="shared" si="121"/>
        <v>0</v>
      </c>
      <c r="AG110" s="45">
        <f t="shared" si="122"/>
        <v>0</v>
      </c>
      <c r="AH110" s="45">
        <f>Front!$M$30</f>
        <v>0</v>
      </c>
      <c r="AI110" s="51">
        <f t="shared" ca="1" si="98"/>
        <v>-25</v>
      </c>
      <c r="AM110" s="72">
        <f t="shared" si="125"/>
        <v>0</v>
      </c>
      <c r="AN110" s="72">
        <f t="shared" si="126"/>
        <v>0</v>
      </c>
      <c r="AO110" s="72">
        <f t="shared" si="127"/>
        <v>0</v>
      </c>
      <c r="AP110" s="72">
        <f t="shared" si="128"/>
        <v>0</v>
      </c>
      <c r="AQ110" s="72">
        <f t="shared" si="129"/>
        <v>0</v>
      </c>
      <c r="AR110" s="72">
        <f t="shared" si="130"/>
        <v>0</v>
      </c>
      <c r="AS110" s="72">
        <f t="shared" si="131"/>
        <v>0</v>
      </c>
      <c r="AT110" s="72">
        <f t="shared" si="132"/>
        <v>0</v>
      </c>
      <c r="AU110" s="72">
        <f t="shared" si="133"/>
        <v>0</v>
      </c>
      <c r="AV110" s="72">
        <f t="shared" si="134"/>
        <v>0</v>
      </c>
      <c r="AW110" s="72">
        <f t="shared" si="135"/>
        <v>0</v>
      </c>
      <c r="AX110" s="72">
        <f t="shared" si="136"/>
        <v>0</v>
      </c>
      <c r="AY110" s="72">
        <f t="shared" si="137"/>
        <v>0</v>
      </c>
      <c r="AZ110" s="72">
        <f t="shared" si="138"/>
        <v>0</v>
      </c>
      <c r="BA110" s="72">
        <f t="shared" si="139"/>
        <v>0</v>
      </c>
      <c r="BB110" s="72">
        <f t="shared" si="140"/>
        <v>0</v>
      </c>
      <c r="BC110" s="72">
        <f t="shared" si="141"/>
        <v>0</v>
      </c>
      <c r="BD110" s="72">
        <f t="shared" si="142"/>
        <v>0</v>
      </c>
      <c r="BE110" s="72">
        <f t="shared" si="143"/>
        <v>0</v>
      </c>
      <c r="BF110" s="72">
        <f t="shared" si="144"/>
        <v>0</v>
      </c>
    </row>
    <row r="111" spans="1:58" x14ac:dyDescent="0.25">
      <c r="A111" s="34" t="s">
        <v>204</v>
      </c>
      <c r="B111" s="1" t="e">
        <f t="shared" ref="B111" si="145">VLOOKUP(A111,Table_Profession_Skills,VLOOKUP(Profession,Table_Profession,2,FALSE)+1,FALSE)</f>
        <v>#N/A</v>
      </c>
      <c r="C111" s="1"/>
      <c r="D111" s="1"/>
      <c r="E111" t="s">
        <v>205</v>
      </c>
      <c r="F111" s="77" t="s">
        <v>529</v>
      </c>
      <c r="G111" s="1" t="s">
        <v>209</v>
      </c>
      <c r="H111" s="76"/>
      <c r="AC111" s="1">
        <f>SUM(I111:INDEX(I111:AB111,Level))+H111</f>
        <v>0</v>
      </c>
      <c r="AD111" s="45">
        <f t="shared" ref="AD111" si="146">IF(AC111&gt;30,100+AC111,VLOOKUP(AC111,Rank_Bonus,2,FALSE))</f>
        <v>-25</v>
      </c>
      <c r="AE111" s="45" cm="1">
        <f t="array" aca="1" ref="AE111" ca="1">IF(G111="NA",0,INDIRECT(LEFT(G111,2))+INDIRECT(MID(G111,4,2))+INDIRECT(RIGHT(G111,2)))</f>
        <v>0</v>
      </c>
      <c r="AF111" s="45">
        <f t="shared" ref="AF111" si="147">IF(C111="X",MIN(30,AC111),0)</f>
        <v>0</v>
      </c>
      <c r="AG111" s="45">
        <f t="shared" ref="AG111" si="148">IF(D111="X",5,0)</f>
        <v>0</v>
      </c>
      <c r="AH111" s="45">
        <f>Front!$M$30</f>
        <v>0</v>
      </c>
      <c r="AI111" s="51">
        <f t="shared" ref="AI111" ca="1" si="149">SUM(AD111:AH111)</f>
        <v>-25</v>
      </c>
      <c r="AM111" s="72">
        <f t="shared" ref="AM111" si="150">_xlfn.NUMBERVALUE(IF(I111=0,0,IF(I111=1,LEFT($B111,FIND("/",$B111)-1),SUM(LEFT($B111,FIND("/",$B111)-1),RIGHT($B111,LEN($B111)-FIND("/",$B111))))))</f>
        <v>0</v>
      </c>
      <c r="AN111" s="72">
        <f t="shared" ref="AN111" si="151">_xlfn.NUMBERVALUE(IF(J111=0,0,IF(J111=1,LEFT($B111,FIND("/",$B111)-1),SUM(LEFT($B111,FIND("/",$B111)-1),RIGHT($B111,LEN($B111)-FIND("/",$B111))))))</f>
        <v>0</v>
      </c>
      <c r="AO111" s="72">
        <f t="shared" ref="AO111" si="152">_xlfn.NUMBERVALUE(IF(K111=0,0,IF(K111=1,LEFT($B111,FIND("/",$B111)-1),SUM(LEFT($B111,FIND("/",$B111)-1),RIGHT($B111,LEN($B111)-FIND("/",$B111))))))</f>
        <v>0</v>
      </c>
      <c r="AP111" s="72">
        <f t="shared" ref="AP111" si="153">_xlfn.NUMBERVALUE(IF(L111=0,0,IF(L111=1,LEFT($B111,FIND("/",$B111)-1),SUM(LEFT($B111,FIND("/",$B111)-1),RIGHT($B111,LEN($B111)-FIND("/",$B111))))))</f>
        <v>0</v>
      </c>
      <c r="AQ111" s="72">
        <f t="shared" ref="AQ111" si="154">_xlfn.NUMBERVALUE(IF(M111=0,0,IF(M111=1,LEFT($B111,FIND("/",$B111)-1),SUM(LEFT($B111,FIND("/",$B111)-1),RIGHT($B111,LEN($B111)-FIND("/",$B111))))))</f>
        <v>0</v>
      </c>
      <c r="AR111" s="72">
        <f t="shared" ref="AR111" si="155">_xlfn.NUMBERVALUE(IF(N111=0,0,IF(N111=1,LEFT($B111,FIND("/",$B111)-1),SUM(LEFT($B111,FIND("/",$B111)-1),RIGHT($B111,LEN($B111)-FIND("/",$B111))))))</f>
        <v>0</v>
      </c>
      <c r="AS111" s="72">
        <f t="shared" ref="AS111" si="156">_xlfn.NUMBERVALUE(IF(O111=0,0,IF(O111=1,LEFT($B111,FIND("/",$B111)-1),SUM(LEFT($B111,FIND("/",$B111)-1),RIGHT($B111,LEN($B111)-FIND("/",$B111))))))</f>
        <v>0</v>
      </c>
      <c r="AT111" s="72">
        <f t="shared" ref="AT111" si="157">_xlfn.NUMBERVALUE(IF(P111=0,0,IF(P111=1,LEFT($B111,FIND("/",$B111)-1),SUM(LEFT($B111,FIND("/",$B111)-1),RIGHT($B111,LEN($B111)-FIND("/",$B111))))))</f>
        <v>0</v>
      </c>
      <c r="AU111" s="72">
        <f t="shared" ref="AU111" si="158">_xlfn.NUMBERVALUE(IF(Q111=0,0,IF(Q111=1,LEFT($B111,FIND("/",$B111)-1),SUM(LEFT($B111,FIND("/",$B111)-1),RIGHT($B111,LEN($B111)-FIND("/",$B111))))))</f>
        <v>0</v>
      </c>
      <c r="AV111" s="72">
        <f t="shared" ref="AV111" si="159">_xlfn.NUMBERVALUE(IF(R111=0,0,IF(R111=1,LEFT($B111,FIND("/",$B111)-1),SUM(LEFT($B111,FIND("/",$B111)-1),RIGHT($B111,LEN($B111)-FIND("/",$B111))))))</f>
        <v>0</v>
      </c>
      <c r="AW111" s="72">
        <f t="shared" ref="AW111" si="160">_xlfn.NUMBERVALUE(IF(S111=0,0,IF(S111=1,LEFT($B111,FIND("/",$B111)-1),SUM(LEFT($B111,FIND("/",$B111)-1),RIGHT($B111,LEN($B111)-FIND("/",$B111))))))</f>
        <v>0</v>
      </c>
      <c r="AX111" s="72">
        <f t="shared" ref="AX111" si="161">_xlfn.NUMBERVALUE(IF(T111=0,0,IF(T111=1,LEFT($B111,FIND("/",$B111)-1),SUM(LEFT($B111,FIND("/",$B111)-1),RIGHT($B111,LEN($B111)-FIND("/",$B111))))))</f>
        <v>0</v>
      </c>
      <c r="AY111" s="72">
        <f t="shared" ref="AY111" si="162">_xlfn.NUMBERVALUE(IF(U111=0,0,IF(U111=1,LEFT($B111,FIND("/",$B111)-1),SUM(LEFT($B111,FIND("/",$B111)-1),RIGHT($B111,LEN($B111)-FIND("/",$B111))))))</f>
        <v>0</v>
      </c>
      <c r="AZ111" s="72">
        <f t="shared" ref="AZ111" si="163">_xlfn.NUMBERVALUE(IF(V111=0,0,IF(V111=1,LEFT($B111,FIND("/",$B111)-1),SUM(LEFT($B111,FIND("/",$B111)-1),RIGHT($B111,LEN($B111)-FIND("/",$B111))))))</f>
        <v>0</v>
      </c>
      <c r="BA111" s="72">
        <f t="shared" ref="BA111" si="164">_xlfn.NUMBERVALUE(IF(W111=0,0,IF(W111=1,LEFT($B111,FIND("/",$B111)-1),SUM(LEFT($B111,FIND("/",$B111)-1),RIGHT($B111,LEN($B111)-FIND("/",$B111))))))</f>
        <v>0</v>
      </c>
      <c r="BB111" s="72">
        <f t="shared" ref="BB111" si="165">_xlfn.NUMBERVALUE(IF(X111=0,0,IF(X111=1,LEFT($B111,FIND("/",$B111)-1),SUM(LEFT($B111,FIND("/",$B111)-1),RIGHT($B111,LEN($B111)-FIND("/",$B111))))))</f>
        <v>0</v>
      </c>
      <c r="BC111" s="72">
        <f t="shared" ref="BC111" si="166">_xlfn.NUMBERVALUE(IF(Y111=0,0,IF(Y111=1,LEFT($B111,FIND("/",$B111)-1),SUM(LEFT($B111,FIND("/",$B111)-1),RIGHT($B111,LEN($B111)-FIND("/",$B111))))))</f>
        <v>0</v>
      </c>
      <c r="BD111" s="72">
        <f t="shared" ref="BD111" si="167">_xlfn.NUMBERVALUE(IF(Z111=0,0,IF(Z111=1,LEFT($B111,FIND("/",$B111)-1),SUM(LEFT($B111,FIND("/",$B111)-1),RIGHT($B111,LEN($B111)-FIND("/",$B111))))))</f>
        <v>0</v>
      </c>
      <c r="BE111" s="72">
        <f t="shared" ref="BE111" si="168">_xlfn.NUMBERVALUE(IF(AA111=0,0,IF(AA111=1,LEFT($B111,FIND("/",$B111)-1),SUM(LEFT($B111,FIND("/",$B111)-1),RIGHT($B111,LEN($B111)-FIND("/",$B111))))))</f>
        <v>0</v>
      </c>
      <c r="BF111" s="72">
        <f t="shared" ref="BF111" si="169">_xlfn.NUMBERVALUE(IF(AB111=0,0,IF(AB111=1,LEFT($B111,FIND("/",$B111)-1),SUM(LEFT($B111,FIND("/",$B111)-1),RIGHT($B111,LEN($B111)-FIND("/",$B111))))))</f>
        <v>0</v>
      </c>
    </row>
    <row r="112" spans="1:58" x14ac:dyDescent="0.25">
      <c r="A112" s="34" t="s">
        <v>204</v>
      </c>
      <c r="B112" s="1" t="e">
        <f t="shared" si="123"/>
        <v>#N/A</v>
      </c>
      <c r="C112" s="1"/>
      <c r="D112" s="1"/>
      <c r="E112" t="s">
        <v>205</v>
      </c>
      <c r="F112" s="77" t="s">
        <v>530</v>
      </c>
      <c r="G112" s="1" t="s">
        <v>209</v>
      </c>
      <c r="H112" s="76"/>
      <c r="AC112" s="1">
        <f>SUM(I112:INDEX(I112:AB112,Level))+H112</f>
        <v>0</v>
      </c>
      <c r="AD112" s="45">
        <f t="shared" si="124"/>
        <v>-25</v>
      </c>
      <c r="AE112" s="45" cm="1">
        <f t="array" aca="1" ref="AE112" ca="1">IF(G112="NA",0,INDIRECT(LEFT(G112,2))+INDIRECT(MID(G112,4,2))+INDIRECT(RIGHT(G112,2)))</f>
        <v>0</v>
      </c>
      <c r="AF112" s="45">
        <f t="shared" si="121"/>
        <v>0</v>
      </c>
      <c r="AG112" s="45">
        <f t="shared" si="122"/>
        <v>0</v>
      </c>
      <c r="AH112" s="45">
        <f>Front!$M$30</f>
        <v>0</v>
      </c>
      <c r="AI112" s="51">
        <f t="shared" ca="1" si="98"/>
        <v>-25</v>
      </c>
      <c r="AM112" s="72">
        <f t="shared" si="125"/>
        <v>0</v>
      </c>
      <c r="AN112" s="72">
        <f t="shared" si="126"/>
        <v>0</v>
      </c>
      <c r="AO112" s="72">
        <f t="shared" si="127"/>
        <v>0</v>
      </c>
      <c r="AP112" s="72">
        <f t="shared" si="128"/>
        <v>0</v>
      </c>
      <c r="AQ112" s="72">
        <f t="shared" si="129"/>
        <v>0</v>
      </c>
      <c r="AR112" s="72">
        <f t="shared" si="130"/>
        <v>0</v>
      </c>
      <c r="AS112" s="72">
        <f t="shared" si="131"/>
        <v>0</v>
      </c>
      <c r="AT112" s="72">
        <f t="shared" si="132"/>
        <v>0</v>
      </c>
      <c r="AU112" s="72">
        <f t="shared" si="133"/>
        <v>0</v>
      </c>
      <c r="AV112" s="72">
        <f t="shared" si="134"/>
        <v>0</v>
      </c>
      <c r="AW112" s="72">
        <f t="shared" si="135"/>
        <v>0</v>
      </c>
      <c r="AX112" s="72">
        <f t="shared" si="136"/>
        <v>0</v>
      </c>
      <c r="AY112" s="72">
        <f t="shared" si="137"/>
        <v>0</v>
      </c>
      <c r="AZ112" s="72">
        <f t="shared" si="138"/>
        <v>0</v>
      </c>
      <c r="BA112" s="72">
        <f t="shared" si="139"/>
        <v>0</v>
      </c>
      <c r="BB112" s="72">
        <f t="shared" si="140"/>
        <v>0</v>
      </c>
      <c r="BC112" s="72">
        <f t="shared" si="141"/>
        <v>0</v>
      </c>
      <c r="BD112" s="72">
        <f t="shared" si="142"/>
        <v>0</v>
      </c>
      <c r="BE112" s="72">
        <f t="shared" si="143"/>
        <v>0</v>
      </c>
      <c r="BF112" s="72">
        <f t="shared" si="144"/>
        <v>0</v>
      </c>
    </row>
    <row r="113" spans="1:58" x14ac:dyDescent="0.25">
      <c r="A113" s="89" t="s">
        <v>204</v>
      </c>
      <c r="B113" s="90" t="e">
        <f t="shared" si="123"/>
        <v>#N/A</v>
      </c>
      <c r="C113" s="90"/>
      <c r="D113" s="90"/>
      <c r="E113" s="132" t="s">
        <v>206</v>
      </c>
      <c r="F113" s="79"/>
      <c r="G113" s="90" t="s">
        <v>210</v>
      </c>
      <c r="H113" s="76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>
        <f>SUM(I113:INDEX(I113:AB113,Level))+H113</f>
        <v>0</v>
      </c>
      <c r="AD113" s="92">
        <f t="shared" si="124"/>
        <v>-25</v>
      </c>
      <c r="AE113" s="92" cm="1">
        <f t="array" aca="1" ref="AE113" ca="1">IF(G113="NA",0,INDIRECT(LEFT(G113,2))+INDIRECT(MID(G113,4,2))+INDIRECT(RIGHT(G113,2)))</f>
        <v>0</v>
      </c>
      <c r="AF113" s="92">
        <f t="shared" si="121"/>
        <v>0</v>
      </c>
      <c r="AG113" s="92">
        <f t="shared" si="122"/>
        <v>0</v>
      </c>
      <c r="AH113" s="92"/>
      <c r="AI113" s="93">
        <f t="shared" ca="1" si="98"/>
        <v>-25</v>
      </c>
      <c r="AM113" s="72">
        <f t="shared" si="125"/>
        <v>0</v>
      </c>
      <c r="AN113" s="72">
        <f t="shared" si="126"/>
        <v>0</v>
      </c>
      <c r="AO113" s="72">
        <f t="shared" si="127"/>
        <v>0</v>
      </c>
      <c r="AP113" s="72">
        <f t="shared" si="128"/>
        <v>0</v>
      </c>
      <c r="AQ113" s="72">
        <f t="shared" si="129"/>
        <v>0</v>
      </c>
      <c r="AR113" s="72">
        <f t="shared" si="130"/>
        <v>0</v>
      </c>
      <c r="AS113" s="72">
        <f t="shared" si="131"/>
        <v>0</v>
      </c>
      <c r="AT113" s="72">
        <f t="shared" si="132"/>
        <v>0</v>
      </c>
      <c r="AU113" s="72">
        <f t="shared" si="133"/>
        <v>0</v>
      </c>
      <c r="AV113" s="72">
        <f t="shared" si="134"/>
        <v>0</v>
      </c>
      <c r="AW113" s="72">
        <f t="shared" si="135"/>
        <v>0</v>
      </c>
      <c r="AX113" s="72">
        <f t="shared" si="136"/>
        <v>0</v>
      </c>
      <c r="AY113" s="72">
        <f t="shared" si="137"/>
        <v>0</v>
      </c>
      <c r="AZ113" s="72">
        <f t="shared" si="138"/>
        <v>0</v>
      </c>
      <c r="BA113" s="72">
        <f t="shared" si="139"/>
        <v>0</v>
      </c>
      <c r="BB113" s="72">
        <f t="shared" si="140"/>
        <v>0</v>
      </c>
      <c r="BC113" s="72">
        <f t="shared" si="141"/>
        <v>0</v>
      </c>
      <c r="BD113" s="72">
        <f t="shared" si="142"/>
        <v>0</v>
      </c>
      <c r="BE113" s="72">
        <f t="shared" si="143"/>
        <v>0</v>
      </c>
      <c r="BF113" s="72">
        <f t="shared" si="144"/>
        <v>0</v>
      </c>
    </row>
    <row r="114" spans="1:58" x14ac:dyDescent="0.25">
      <c r="A114" s="34" t="s">
        <v>204</v>
      </c>
      <c r="B114" s="1" t="e">
        <f t="shared" si="123"/>
        <v>#N/A</v>
      </c>
      <c r="C114" s="1"/>
      <c r="D114" s="1"/>
      <c r="E114" t="s">
        <v>207</v>
      </c>
      <c r="F114" s="79"/>
      <c r="G114" s="1" t="s">
        <v>211</v>
      </c>
      <c r="H114" s="76"/>
      <c r="AC114" s="1">
        <f>SUM(I114:INDEX(I114:AB114,Level))+H114</f>
        <v>0</v>
      </c>
      <c r="AD114" s="45">
        <f t="shared" si="124"/>
        <v>-25</v>
      </c>
      <c r="AE114" s="45" cm="1">
        <f t="array" aca="1" ref="AE114" ca="1">IF(G114="NA",0,INDIRECT(LEFT(G114,2))+INDIRECT(MID(G114,4,2))+INDIRECT(RIGHT(G114,2)))</f>
        <v>0</v>
      </c>
      <c r="AF114" s="45">
        <f t="shared" si="121"/>
        <v>0</v>
      </c>
      <c r="AG114" s="45">
        <f t="shared" si="122"/>
        <v>0</v>
      </c>
      <c r="AH114" s="45"/>
      <c r="AI114" s="51">
        <f t="shared" ca="1" si="98"/>
        <v>-25</v>
      </c>
      <c r="AM114" s="72">
        <f t="shared" si="125"/>
        <v>0</v>
      </c>
      <c r="AN114" s="72">
        <f t="shared" si="126"/>
        <v>0</v>
      </c>
      <c r="AO114" s="72">
        <f t="shared" si="127"/>
        <v>0</v>
      </c>
      <c r="AP114" s="72">
        <f t="shared" si="128"/>
        <v>0</v>
      </c>
      <c r="AQ114" s="72">
        <f t="shared" si="129"/>
        <v>0</v>
      </c>
      <c r="AR114" s="72">
        <f t="shared" si="130"/>
        <v>0</v>
      </c>
      <c r="AS114" s="72">
        <f t="shared" si="131"/>
        <v>0</v>
      </c>
      <c r="AT114" s="72">
        <f t="shared" si="132"/>
        <v>0</v>
      </c>
      <c r="AU114" s="72">
        <f t="shared" si="133"/>
        <v>0</v>
      </c>
      <c r="AV114" s="72">
        <f t="shared" si="134"/>
        <v>0</v>
      </c>
      <c r="AW114" s="72">
        <f t="shared" si="135"/>
        <v>0</v>
      </c>
      <c r="AX114" s="72">
        <f t="shared" si="136"/>
        <v>0</v>
      </c>
      <c r="AY114" s="72">
        <f t="shared" si="137"/>
        <v>0</v>
      </c>
      <c r="AZ114" s="72">
        <f t="shared" si="138"/>
        <v>0</v>
      </c>
      <c r="BA114" s="72">
        <f t="shared" si="139"/>
        <v>0</v>
      </c>
      <c r="BB114" s="72">
        <f t="shared" si="140"/>
        <v>0</v>
      </c>
      <c r="BC114" s="72">
        <f t="shared" si="141"/>
        <v>0</v>
      </c>
      <c r="BD114" s="72">
        <f t="shared" si="142"/>
        <v>0</v>
      </c>
      <c r="BE114" s="72">
        <f t="shared" si="143"/>
        <v>0</v>
      </c>
      <c r="BF114" s="72">
        <f t="shared" si="144"/>
        <v>0</v>
      </c>
    </row>
    <row r="115" spans="1:58" x14ac:dyDescent="0.25">
      <c r="A115" s="34" t="s">
        <v>212</v>
      </c>
      <c r="B115" s="1" t="e">
        <f t="shared" si="123"/>
        <v>#N/A</v>
      </c>
      <c r="C115" s="1"/>
      <c r="D115" s="1"/>
      <c r="E115" t="s">
        <v>213</v>
      </c>
      <c r="F115" s="79"/>
      <c r="G115" s="1" t="s">
        <v>217</v>
      </c>
      <c r="H115" s="76"/>
      <c r="AC115" s="1">
        <f>SUM(I115:INDEX(I115:AB115,Level))+H115</f>
        <v>0</v>
      </c>
      <c r="AD115" s="45">
        <f t="shared" si="124"/>
        <v>-25</v>
      </c>
      <c r="AE115" s="45" cm="1">
        <f t="array" aca="1" ref="AE115" ca="1">IF(G115="NA",0,INDIRECT(LEFT(G115,2))+INDIRECT(MID(G115,4,2))+INDIRECT(RIGHT(G115,2)))</f>
        <v>0</v>
      </c>
      <c r="AF115" s="45">
        <f t="shared" si="121"/>
        <v>0</v>
      </c>
      <c r="AG115" s="45">
        <f t="shared" si="122"/>
        <v>0</v>
      </c>
      <c r="AH115" s="45"/>
      <c r="AI115" s="51">
        <f t="shared" ca="1" si="98"/>
        <v>-25</v>
      </c>
      <c r="AM115" s="72">
        <f t="shared" si="125"/>
        <v>0</v>
      </c>
      <c r="AN115" s="72">
        <f t="shared" si="126"/>
        <v>0</v>
      </c>
      <c r="AO115" s="72">
        <f t="shared" si="127"/>
        <v>0</v>
      </c>
      <c r="AP115" s="72">
        <f t="shared" si="128"/>
        <v>0</v>
      </c>
      <c r="AQ115" s="72">
        <f t="shared" si="129"/>
        <v>0</v>
      </c>
      <c r="AR115" s="72">
        <f t="shared" si="130"/>
        <v>0</v>
      </c>
      <c r="AS115" s="72">
        <f t="shared" si="131"/>
        <v>0</v>
      </c>
      <c r="AT115" s="72">
        <f t="shared" si="132"/>
        <v>0</v>
      </c>
      <c r="AU115" s="72">
        <f t="shared" si="133"/>
        <v>0</v>
      </c>
      <c r="AV115" s="72">
        <f t="shared" si="134"/>
        <v>0</v>
      </c>
      <c r="AW115" s="72">
        <f t="shared" si="135"/>
        <v>0</v>
      </c>
      <c r="AX115" s="72">
        <f t="shared" si="136"/>
        <v>0</v>
      </c>
      <c r="AY115" s="72">
        <f t="shared" si="137"/>
        <v>0</v>
      </c>
      <c r="AZ115" s="72">
        <f t="shared" si="138"/>
        <v>0</v>
      </c>
      <c r="BA115" s="72">
        <f t="shared" si="139"/>
        <v>0</v>
      </c>
      <c r="BB115" s="72">
        <f t="shared" si="140"/>
        <v>0</v>
      </c>
      <c r="BC115" s="72">
        <f t="shared" si="141"/>
        <v>0</v>
      </c>
      <c r="BD115" s="72">
        <f t="shared" si="142"/>
        <v>0</v>
      </c>
      <c r="BE115" s="72">
        <f t="shared" si="143"/>
        <v>0</v>
      </c>
      <c r="BF115" s="72">
        <f t="shared" si="144"/>
        <v>0</v>
      </c>
    </row>
    <row r="116" spans="1:58" x14ac:dyDescent="0.25">
      <c r="A116" s="34" t="s">
        <v>212</v>
      </c>
      <c r="B116" s="1" t="e">
        <f t="shared" si="123"/>
        <v>#N/A</v>
      </c>
      <c r="C116" s="1"/>
      <c r="D116" s="1"/>
      <c r="E116" t="s">
        <v>214</v>
      </c>
      <c r="F116" s="79"/>
      <c r="G116" s="1" t="s">
        <v>217</v>
      </c>
      <c r="H116" s="76"/>
      <c r="AC116" s="1">
        <f>SUM(I116:INDEX(I116:AB116,Level))+H116</f>
        <v>0</v>
      </c>
      <c r="AD116" s="45">
        <f t="shared" si="124"/>
        <v>-25</v>
      </c>
      <c r="AE116" s="45" cm="1">
        <f t="array" aca="1" ref="AE116" ca="1">IF(G116="NA",0,INDIRECT(LEFT(G116,2))+INDIRECT(MID(G116,4,2))+INDIRECT(RIGHT(G116,2)))</f>
        <v>0</v>
      </c>
      <c r="AF116" s="45">
        <f t="shared" si="121"/>
        <v>0</v>
      </c>
      <c r="AG116" s="45">
        <f t="shared" si="122"/>
        <v>0</v>
      </c>
      <c r="AH116" s="45"/>
      <c r="AI116" s="51">
        <f t="shared" ca="1" si="98"/>
        <v>-25</v>
      </c>
      <c r="AM116" s="72">
        <f t="shared" si="125"/>
        <v>0</v>
      </c>
      <c r="AN116" s="72">
        <f t="shared" si="126"/>
        <v>0</v>
      </c>
      <c r="AO116" s="72">
        <f t="shared" si="127"/>
        <v>0</v>
      </c>
      <c r="AP116" s="72">
        <f t="shared" si="128"/>
        <v>0</v>
      </c>
      <c r="AQ116" s="72">
        <f t="shared" si="129"/>
        <v>0</v>
      </c>
      <c r="AR116" s="72">
        <f t="shared" si="130"/>
        <v>0</v>
      </c>
      <c r="AS116" s="72">
        <f t="shared" si="131"/>
        <v>0</v>
      </c>
      <c r="AT116" s="72">
        <f t="shared" si="132"/>
        <v>0</v>
      </c>
      <c r="AU116" s="72">
        <f t="shared" si="133"/>
        <v>0</v>
      </c>
      <c r="AV116" s="72">
        <f t="shared" si="134"/>
        <v>0</v>
      </c>
      <c r="AW116" s="72">
        <f t="shared" si="135"/>
        <v>0</v>
      </c>
      <c r="AX116" s="72">
        <f t="shared" si="136"/>
        <v>0</v>
      </c>
      <c r="AY116" s="72">
        <f t="shared" si="137"/>
        <v>0</v>
      </c>
      <c r="AZ116" s="72">
        <f t="shared" si="138"/>
        <v>0</v>
      </c>
      <c r="BA116" s="72">
        <f t="shared" si="139"/>
        <v>0</v>
      </c>
      <c r="BB116" s="72">
        <f t="shared" si="140"/>
        <v>0</v>
      </c>
      <c r="BC116" s="72">
        <f t="shared" si="141"/>
        <v>0</v>
      </c>
      <c r="BD116" s="72">
        <f t="shared" si="142"/>
        <v>0</v>
      </c>
      <c r="BE116" s="72">
        <f t="shared" si="143"/>
        <v>0</v>
      </c>
      <c r="BF116" s="72">
        <f t="shared" si="144"/>
        <v>0</v>
      </c>
    </row>
    <row r="117" spans="1:58" x14ac:dyDescent="0.25">
      <c r="A117" s="34" t="s">
        <v>212</v>
      </c>
      <c r="B117" s="1" t="e">
        <f t="shared" si="123"/>
        <v>#N/A</v>
      </c>
      <c r="C117" s="1"/>
      <c r="D117" s="1"/>
      <c r="E117" t="s">
        <v>215</v>
      </c>
      <c r="F117" s="79"/>
      <c r="G117" s="1" t="s">
        <v>217</v>
      </c>
      <c r="H117" s="76"/>
      <c r="AC117" s="1">
        <f>SUM(I117:INDEX(I117:AB117,Level))+H117</f>
        <v>0</v>
      </c>
      <c r="AD117" s="45">
        <f t="shared" si="124"/>
        <v>-25</v>
      </c>
      <c r="AE117" s="45" cm="1">
        <f t="array" aca="1" ref="AE117" ca="1">IF(G117="NA",0,INDIRECT(LEFT(G117,2))+INDIRECT(MID(G117,4,2))+INDIRECT(RIGHT(G117,2)))</f>
        <v>0</v>
      </c>
      <c r="AF117" s="45">
        <f t="shared" si="121"/>
        <v>0</v>
      </c>
      <c r="AG117" s="45">
        <f t="shared" si="122"/>
        <v>0</v>
      </c>
      <c r="AH117" s="45"/>
      <c r="AI117" s="51">
        <f t="shared" ca="1" si="98"/>
        <v>-25</v>
      </c>
      <c r="AM117" s="72">
        <f t="shared" si="125"/>
        <v>0</v>
      </c>
      <c r="AN117" s="72">
        <f t="shared" si="126"/>
        <v>0</v>
      </c>
      <c r="AO117" s="72">
        <f t="shared" si="127"/>
        <v>0</v>
      </c>
      <c r="AP117" s="72">
        <f t="shared" si="128"/>
        <v>0</v>
      </c>
      <c r="AQ117" s="72">
        <f t="shared" si="129"/>
        <v>0</v>
      </c>
      <c r="AR117" s="72">
        <f t="shared" si="130"/>
        <v>0</v>
      </c>
      <c r="AS117" s="72">
        <f t="shared" si="131"/>
        <v>0</v>
      </c>
      <c r="AT117" s="72">
        <f t="shared" si="132"/>
        <v>0</v>
      </c>
      <c r="AU117" s="72">
        <f t="shared" si="133"/>
        <v>0</v>
      </c>
      <c r="AV117" s="72">
        <f t="shared" si="134"/>
        <v>0</v>
      </c>
      <c r="AW117" s="72">
        <f t="shared" si="135"/>
        <v>0</v>
      </c>
      <c r="AX117" s="72">
        <f t="shared" si="136"/>
        <v>0</v>
      </c>
      <c r="AY117" s="72">
        <f t="shared" si="137"/>
        <v>0</v>
      </c>
      <c r="AZ117" s="72">
        <f t="shared" si="138"/>
        <v>0</v>
      </c>
      <c r="BA117" s="72">
        <f t="shared" si="139"/>
        <v>0</v>
      </c>
      <c r="BB117" s="72">
        <f t="shared" si="140"/>
        <v>0</v>
      </c>
      <c r="BC117" s="72">
        <f t="shared" si="141"/>
        <v>0</v>
      </c>
      <c r="BD117" s="72">
        <f t="shared" si="142"/>
        <v>0</v>
      </c>
      <c r="BE117" s="72">
        <f t="shared" si="143"/>
        <v>0</v>
      </c>
      <c r="BF117" s="72">
        <f t="shared" si="144"/>
        <v>0</v>
      </c>
    </row>
    <row r="118" spans="1:58" x14ac:dyDescent="0.25">
      <c r="A118" s="34" t="s">
        <v>212</v>
      </c>
      <c r="B118" s="1" t="e">
        <f t="shared" si="123"/>
        <v>#N/A</v>
      </c>
      <c r="C118" s="1"/>
      <c r="D118" s="1"/>
      <c r="E118" t="s">
        <v>216</v>
      </c>
      <c r="F118" s="79"/>
      <c r="G118" s="1" t="s">
        <v>217</v>
      </c>
      <c r="H118" s="76"/>
      <c r="AC118" s="1">
        <f>SUM(I118:INDEX(I118:AB118,Level))+H118</f>
        <v>0</v>
      </c>
      <c r="AD118" s="45">
        <f t="shared" si="124"/>
        <v>-25</v>
      </c>
      <c r="AE118" s="45" cm="1">
        <f t="array" aca="1" ref="AE118" ca="1">IF(G118="NA",0,INDIRECT(LEFT(G118,2))+INDIRECT(MID(G118,4,2))+INDIRECT(RIGHT(G118,2)))</f>
        <v>0</v>
      </c>
      <c r="AF118" s="45">
        <f t="shared" si="121"/>
        <v>0</v>
      </c>
      <c r="AG118" s="45">
        <f t="shared" si="122"/>
        <v>0</v>
      </c>
      <c r="AH118" s="45"/>
      <c r="AI118" s="51">
        <f t="shared" ca="1" si="98"/>
        <v>-25</v>
      </c>
      <c r="AM118" s="72">
        <f t="shared" si="125"/>
        <v>0</v>
      </c>
      <c r="AN118" s="72">
        <f t="shared" si="126"/>
        <v>0</v>
      </c>
      <c r="AO118" s="72">
        <f t="shared" si="127"/>
        <v>0</v>
      </c>
      <c r="AP118" s="72">
        <f t="shared" si="128"/>
        <v>0</v>
      </c>
      <c r="AQ118" s="72">
        <f t="shared" si="129"/>
        <v>0</v>
      </c>
      <c r="AR118" s="72">
        <f t="shared" si="130"/>
        <v>0</v>
      </c>
      <c r="AS118" s="72">
        <f t="shared" si="131"/>
        <v>0</v>
      </c>
      <c r="AT118" s="72">
        <f t="shared" si="132"/>
        <v>0</v>
      </c>
      <c r="AU118" s="72">
        <f t="shared" si="133"/>
        <v>0</v>
      </c>
      <c r="AV118" s="72">
        <f t="shared" si="134"/>
        <v>0</v>
      </c>
      <c r="AW118" s="72">
        <f t="shared" si="135"/>
        <v>0</v>
      </c>
      <c r="AX118" s="72">
        <f t="shared" si="136"/>
        <v>0</v>
      </c>
      <c r="AY118" s="72">
        <f t="shared" si="137"/>
        <v>0</v>
      </c>
      <c r="AZ118" s="72">
        <f t="shared" si="138"/>
        <v>0</v>
      </c>
      <c r="BA118" s="72">
        <f t="shared" si="139"/>
        <v>0</v>
      </c>
      <c r="BB118" s="72">
        <f t="shared" si="140"/>
        <v>0</v>
      </c>
      <c r="BC118" s="72">
        <f t="shared" si="141"/>
        <v>0</v>
      </c>
      <c r="BD118" s="72">
        <f t="shared" si="142"/>
        <v>0</v>
      </c>
      <c r="BE118" s="72">
        <f t="shared" si="143"/>
        <v>0</v>
      </c>
      <c r="BF118" s="72">
        <f t="shared" si="144"/>
        <v>0</v>
      </c>
    </row>
    <row r="119" spans="1:58" x14ac:dyDescent="0.25">
      <c r="A119" s="34" t="s">
        <v>218</v>
      </c>
      <c r="B119" s="1" t="e">
        <f t="shared" si="123"/>
        <v>#N/A</v>
      </c>
      <c r="C119" s="1"/>
      <c r="D119" s="1"/>
      <c r="E119" t="s">
        <v>219</v>
      </c>
      <c r="F119" s="77" t="s">
        <v>220</v>
      </c>
      <c r="G119" s="1" t="s">
        <v>140</v>
      </c>
      <c r="H119" s="1">
        <f>Worksheet!P68</f>
        <v>0</v>
      </c>
      <c r="AC119" s="1">
        <f>SUM(I119:INDEX(I119:AB119,Level))+H119</f>
        <v>0</v>
      </c>
      <c r="AD119" s="45">
        <f t="shared" si="124"/>
        <v>-25</v>
      </c>
      <c r="AE119" s="45" cm="1">
        <f t="array" aca="1" ref="AE119" ca="1">IF(G119="NA",0,INDIRECT(LEFT(G119,2))+INDIRECT(MID(G119,4,2))+INDIRECT(RIGHT(G119,2)))</f>
        <v>0</v>
      </c>
      <c r="AF119" s="45">
        <f t="shared" si="121"/>
        <v>0</v>
      </c>
      <c r="AG119" s="45">
        <f t="shared" si="122"/>
        <v>0</v>
      </c>
      <c r="AH119" s="45"/>
      <c r="AI119" s="51">
        <f t="shared" ca="1" si="98"/>
        <v>-25</v>
      </c>
      <c r="AM119" s="72">
        <f t="shared" si="125"/>
        <v>0</v>
      </c>
      <c r="AN119" s="72">
        <f t="shared" si="126"/>
        <v>0</v>
      </c>
      <c r="AO119" s="72">
        <f t="shared" si="127"/>
        <v>0</v>
      </c>
      <c r="AP119" s="72">
        <f t="shared" si="128"/>
        <v>0</v>
      </c>
      <c r="AQ119" s="72">
        <f t="shared" si="129"/>
        <v>0</v>
      </c>
      <c r="AR119" s="72">
        <f t="shared" si="130"/>
        <v>0</v>
      </c>
      <c r="AS119" s="72">
        <f t="shared" si="131"/>
        <v>0</v>
      </c>
      <c r="AT119" s="72">
        <f t="shared" si="132"/>
        <v>0</v>
      </c>
      <c r="AU119" s="72">
        <f t="shared" si="133"/>
        <v>0</v>
      </c>
      <c r="AV119" s="72">
        <f t="shared" si="134"/>
        <v>0</v>
      </c>
      <c r="AW119" s="72">
        <f t="shared" si="135"/>
        <v>0</v>
      </c>
      <c r="AX119" s="72">
        <f t="shared" si="136"/>
        <v>0</v>
      </c>
      <c r="AY119" s="72">
        <f t="shared" si="137"/>
        <v>0</v>
      </c>
      <c r="AZ119" s="72">
        <f t="shared" si="138"/>
        <v>0</v>
      </c>
      <c r="BA119" s="72">
        <f t="shared" si="139"/>
        <v>0</v>
      </c>
      <c r="BB119" s="72">
        <f t="shared" si="140"/>
        <v>0</v>
      </c>
      <c r="BC119" s="72">
        <f t="shared" si="141"/>
        <v>0</v>
      </c>
      <c r="BD119" s="72">
        <f t="shared" si="142"/>
        <v>0</v>
      </c>
      <c r="BE119" s="72">
        <f t="shared" si="143"/>
        <v>0</v>
      </c>
      <c r="BF119" s="72">
        <f t="shared" si="144"/>
        <v>0</v>
      </c>
    </row>
    <row r="120" spans="1:58" x14ac:dyDescent="0.25">
      <c r="A120" s="34" t="s">
        <v>218</v>
      </c>
      <c r="B120" s="1" t="e">
        <f t="shared" si="123"/>
        <v>#N/A</v>
      </c>
      <c r="C120" s="1"/>
      <c r="D120" s="1"/>
      <c r="E120" t="s">
        <v>219</v>
      </c>
      <c r="F120" s="77" t="s">
        <v>224</v>
      </c>
      <c r="G120" s="1" t="s">
        <v>140</v>
      </c>
      <c r="H120" s="1">
        <f>Worksheet!P69</f>
        <v>0</v>
      </c>
      <c r="AC120" s="1">
        <f>SUM(I120:INDEX(I120:AB120,Level))+H120</f>
        <v>0</v>
      </c>
      <c r="AD120" s="45">
        <f t="shared" si="124"/>
        <v>-25</v>
      </c>
      <c r="AE120" s="45" cm="1">
        <f t="array" aca="1" ref="AE120" ca="1">IF(G120="NA",0,INDIRECT(LEFT(G120,2))+INDIRECT(MID(G120,4,2))+INDIRECT(RIGHT(G120,2)))</f>
        <v>0</v>
      </c>
      <c r="AF120" s="45">
        <f t="shared" si="121"/>
        <v>0</v>
      </c>
      <c r="AG120" s="45">
        <f t="shared" si="122"/>
        <v>0</v>
      </c>
      <c r="AH120" s="45"/>
      <c r="AI120" s="51">
        <f t="shared" ca="1" si="98"/>
        <v>-25</v>
      </c>
      <c r="AM120" s="72">
        <f t="shared" si="125"/>
        <v>0</v>
      </c>
      <c r="AN120" s="72">
        <f t="shared" si="126"/>
        <v>0</v>
      </c>
      <c r="AO120" s="72">
        <f t="shared" si="127"/>
        <v>0</v>
      </c>
      <c r="AP120" s="72">
        <f t="shared" si="128"/>
        <v>0</v>
      </c>
      <c r="AQ120" s="72">
        <f t="shared" si="129"/>
        <v>0</v>
      </c>
      <c r="AR120" s="72">
        <f t="shared" si="130"/>
        <v>0</v>
      </c>
      <c r="AS120" s="72">
        <f t="shared" si="131"/>
        <v>0</v>
      </c>
      <c r="AT120" s="72">
        <f t="shared" si="132"/>
        <v>0</v>
      </c>
      <c r="AU120" s="72">
        <f t="shared" si="133"/>
        <v>0</v>
      </c>
      <c r="AV120" s="72">
        <f t="shared" si="134"/>
        <v>0</v>
      </c>
      <c r="AW120" s="72">
        <f t="shared" si="135"/>
        <v>0</v>
      </c>
      <c r="AX120" s="72">
        <f t="shared" si="136"/>
        <v>0</v>
      </c>
      <c r="AY120" s="72">
        <f t="shared" si="137"/>
        <v>0</v>
      </c>
      <c r="AZ120" s="72">
        <f t="shared" si="138"/>
        <v>0</v>
      </c>
      <c r="BA120" s="72">
        <f t="shared" si="139"/>
        <v>0</v>
      </c>
      <c r="BB120" s="72">
        <f t="shared" si="140"/>
        <v>0</v>
      </c>
      <c r="BC120" s="72">
        <f t="shared" si="141"/>
        <v>0</v>
      </c>
      <c r="BD120" s="72">
        <f t="shared" si="142"/>
        <v>0</v>
      </c>
      <c r="BE120" s="72">
        <f t="shared" si="143"/>
        <v>0</v>
      </c>
      <c r="BF120" s="72">
        <f t="shared" si="144"/>
        <v>0</v>
      </c>
    </row>
    <row r="121" spans="1:58" x14ac:dyDescent="0.25">
      <c r="A121" s="34" t="s">
        <v>218</v>
      </c>
      <c r="B121" s="1" t="e">
        <f t="shared" si="123"/>
        <v>#N/A</v>
      </c>
      <c r="C121" s="1"/>
      <c r="D121" s="1"/>
      <c r="E121" t="s">
        <v>219</v>
      </c>
      <c r="F121" s="77" t="s">
        <v>225</v>
      </c>
      <c r="G121" s="1" t="s">
        <v>140</v>
      </c>
      <c r="H121" s="1">
        <f>Worksheet!P70</f>
        <v>0</v>
      </c>
      <c r="AC121" s="1">
        <f>SUM(I121:INDEX(I121:AB121,Level))+H121</f>
        <v>0</v>
      </c>
      <c r="AD121" s="45">
        <f t="shared" si="124"/>
        <v>-25</v>
      </c>
      <c r="AE121" s="45" cm="1">
        <f t="array" aca="1" ref="AE121" ca="1">IF(G121="NA",0,INDIRECT(LEFT(G121,2))+INDIRECT(MID(G121,4,2))+INDIRECT(RIGHT(G121,2)))</f>
        <v>0</v>
      </c>
      <c r="AF121" s="45">
        <f t="shared" si="121"/>
        <v>0</v>
      </c>
      <c r="AG121" s="45">
        <f t="shared" si="122"/>
        <v>0</v>
      </c>
      <c r="AH121" s="45"/>
      <c r="AI121" s="51">
        <f t="shared" ca="1" si="98"/>
        <v>-25</v>
      </c>
      <c r="AM121" s="72">
        <f t="shared" si="125"/>
        <v>0</v>
      </c>
      <c r="AN121" s="72">
        <f t="shared" si="126"/>
        <v>0</v>
      </c>
      <c r="AO121" s="72">
        <f t="shared" si="127"/>
        <v>0</v>
      </c>
      <c r="AP121" s="72">
        <f t="shared" si="128"/>
        <v>0</v>
      </c>
      <c r="AQ121" s="72">
        <f t="shared" si="129"/>
        <v>0</v>
      </c>
      <c r="AR121" s="72">
        <f t="shared" si="130"/>
        <v>0</v>
      </c>
      <c r="AS121" s="72">
        <f t="shared" si="131"/>
        <v>0</v>
      </c>
      <c r="AT121" s="72">
        <f t="shared" si="132"/>
        <v>0</v>
      </c>
      <c r="AU121" s="72">
        <f t="shared" si="133"/>
        <v>0</v>
      </c>
      <c r="AV121" s="72">
        <f t="shared" si="134"/>
        <v>0</v>
      </c>
      <c r="AW121" s="72">
        <f t="shared" si="135"/>
        <v>0</v>
      </c>
      <c r="AX121" s="72">
        <f t="shared" si="136"/>
        <v>0</v>
      </c>
      <c r="AY121" s="72">
        <f t="shared" si="137"/>
        <v>0</v>
      </c>
      <c r="AZ121" s="72">
        <f t="shared" si="138"/>
        <v>0</v>
      </c>
      <c r="BA121" s="72">
        <f t="shared" si="139"/>
        <v>0</v>
      </c>
      <c r="BB121" s="72">
        <f t="shared" si="140"/>
        <v>0</v>
      </c>
      <c r="BC121" s="72">
        <f t="shared" si="141"/>
        <v>0</v>
      </c>
      <c r="BD121" s="72">
        <f t="shared" si="142"/>
        <v>0</v>
      </c>
      <c r="BE121" s="72">
        <f t="shared" si="143"/>
        <v>0</v>
      </c>
      <c r="BF121" s="72">
        <f t="shared" si="144"/>
        <v>0</v>
      </c>
    </row>
    <row r="122" spans="1:58" x14ac:dyDescent="0.25">
      <c r="A122" s="34" t="s">
        <v>218</v>
      </c>
      <c r="B122" s="1" t="e">
        <f t="shared" si="123"/>
        <v>#N/A</v>
      </c>
      <c r="C122" s="1"/>
      <c r="D122" s="1"/>
      <c r="E122" t="s">
        <v>221</v>
      </c>
      <c r="F122" s="79"/>
      <c r="G122" s="1" t="s">
        <v>140</v>
      </c>
      <c r="H122" s="76"/>
      <c r="AC122" s="1">
        <f>SUM(I122:INDEX(I122:AB122,Level))+H122</f>
        <v>0</v>
      </c>
      <c r="AD122" s="45">
        <f t="shared" si="124"/>
        <v>-25</v>
      </c>
      <c r="AE122" s="45" cm="1">
        <f t="array" aca="1" ref="AE122" ca="1">IF(G122="NA",0,INDIRECT(LEFT(G122,2))+INDIRECT(MID(G122,4,2))+INDIRECT(RIGHT(G122,2)))</f>
        <v>0</v>
      </c>
      <c r="AF122" s="45">
        <f t="shared" si="121"/>
        <v>0</v>
      </c>
      <c r="AG122" s="45">
        <f t="shared" si="122"/>
        <v>0</v>
      </c>
      <c r="AH122" s="45"/>
      <c r="AI122" s="51">
        <f t="shared" ca="1" si="98"/>
        <v>-25</v>
      </c>
      <c r="AM122" s="72">
        <f t="shared" si="125"/>
        <v>0</v>
      </c>
      <c r="AN122" s="72">
        <f t="shared" si="126"/>
        <v>0</v>
      </c>
      <c r="AO122" s="72">
        <f t="shared" si="127"/>
        <v>0</v>
      </c>
      <c r="AP122" s="72">
        <f t="shared" si="128"/>
        <v>0</v>
      </c>
      <c r="AQ122" s="72">
        <f t="shared" si="129"/>
        <v>0</v>
      </c>
      <c r="AR122" s="72">
        <f t="shared" si="130"/>
        <v>0</v>
      </c>
      <c r="AS122" s="72">
        <f t="shared" si="131"/>
        <v>0</v>
      </c>
      <c r="AT122" s="72">
        <f t="shared" si="132"/>
        <v>0</v>
      </c>
      <c r="AU122" s="72">
        <f t="shared" si="133"/>
        <v>0</v>
      </c>
      <c r="AV122" s="72">
        <f t="shared" si="134"/>
        <v>0</v>
      </c>
      <c r="AW122" s="72">
        <f t="shared" si="135"/>
        <v>0</v>
      </c>
      <c r="AX122" s="72">
        <f t="shared" si="136"/>
        <v>0</v>
      </c>
      <c r="AY122" s="72">
        <f t="shared" si="137"/>
        <v>0</v>
      </c>
      <c r="AZ122" s="72">
        <f t="shared" si="138"/>
        <v>0</v>
      </c>
      <c r="BA122" s="72">
        <f t="shared" si="139"/>
        <v>0</v>
      </c>
      <c r="BB122" s="72">
        <f t="shared" si="140"/>
        <v>0</v>
      </c>
      <c r="BC122" s="72">
        <f t="shared" si="141"/>
        <v>0</v>
      </c>
      <c r="BD122" s="72">
        <f t="shared" si="142"/>
        <v>0</v>
      </c>
      <c r="BE122" s="72">
        <f t="shared" si="143"/>
        <v>0</v>
      </c>
      <c r="BF122" s="72">
        <f t="shared" si="144"/>
        <v>0</v>
      </c>
    </row>
    <row r="123" spans="1:58" x14ac:dyDescent="0.25">
      <c r="A123" s="34" t="s">
        <v>218</v>
      </c>
      <c r="B123" s="1" t="e">
        <f t="shared" si="123"/>
        <v>#N/A</v>
      </c>
      <c r="C123" s="1"/>
      <c r="D123" s="1"/>
      <c r="E123" t="s">
        <v>222</v>
      </c>
      <c r="F123" s="79"/>
      <c r="G123" s="1" t="s">
        <v>226</v>
      </c>
      <c r="H123" s="1" t="e">
        <f>Worksheet!P29</f>
        <v>#N/A</v>
      </c>
      <c r="AC123" s="1" t="e">
        <f>SUM(I123:INDEX(I123:AB123,Level))+H123</f>
        <v>#N/A</v>
      </c>
      <c r="AD123" s="45" t="e">
        <f t="shared" si="124"/>
        <v>#N/A</v>
      </c>
      <c r="AE123" s="45" cm="1">
        <f t="array" aca="1" ref="AE123" ca="1">IF(G123="NA",0,INDIRECT(LEFT(G123,2))+INDIRECT(MID(G123,4,2))+INDIRECT(RIGHT(G123,2)))</f>
        <v>0</v>
      </c>
      <c r="AF123" s="45">
        <f t="shared" si="121"/>
        <v>0</v>
      </c>
      <c r="AG123" s="45">
        <f t="shared" si="122"/>
        <v>0</v>
      </c>
      <c r="AH123" s="45"/>
      <c r="AI123" s="51" t="e">
        <f t="shared" si="98"/>
        <v>#N/A</v>
      </c>
      <c r="AM123" s="72">
        <f t="shared" si="125"/>
        <v>0</v>
      </c>
      <c r="AN123" s="72">
        <f t="shared" si="126"/>
        <v>0</v>
      </c>
      <c r="AO123" s="72">
        <f t="shared" si="127"/>
        <v>0</v>
      </c>
      <c r="AP123" s="72">
        <f t="shared" si="128"/>
        <v>0</v>
      </c>
      <c r="AQ123" s="72">
        <f t="shared" si="129"/>
        <v>0</v>
      </c>
      <c r="AR123" s="72">
        <f t="shared" si="130"/>
        <v>0</v>
      </c>
      <c r="AS123" s="72">
        <f t="shared" si="131"/>
        <v>0</v>
      </c>
      <c r="AT123" s="72">
        <f t="shared" si="132"/>
        <v>0</v>
      </c>
      <c r="AU123" s="72">
        <f t="shared" si="133"/>
        <v>0</v>
      </c>
      <c r="AV123" s="72">
        <f t="shared" si="134"/>
        <v>0</v>
      </c>
      <c r="AW123" s="72">
        <f t="shared" si="135"/>
        <v>0</v>
      </c>
      <c r="AX123" s="72">
        <f t="shared" si="136"/>
        <v>0</v>
      </c>
      <c r="AY123" s="72">
        <f t="shared" si="137"/>
        <v>0</v>
      </c>
      <c r="AZ123" s="72">
        <f t="shared" si="138"/>
        <v>0</v>
      </c>
      <c r="BA123" s="72">
        <f t="shared" si="139"/>
        <v>0</v>
      </c>
      <c r="BB123" s="72">
        <f t="shared" si="140"/>
        <v>0</v>
      </c>
      <c r="BC123" s="72">
        <f t="shared" si="141"/>
        <v>0</v>
      </c>
      <c r="BD123" s="72">
        <f t="shared" si="142"/>
        <v>0</v>
      </c>
      <c r="BE123" s="72">
        <f t="shared" si="143"/>
        <v>0</v>
      </c>
      <c r="BF123" s="72">
        <f t="shared" si="144"/>
        <v>0</v>
      </c>
    </row>
    <row r="124" spans="1:58" x14ac:dyDescent="0.25">
      <c r="A124" s="34" t="s">
        <v>218</v>
      </c>
      <c r="B124" s="1" t="e">
        <f t="shared" si="123"/>
        <v>#N/A</v>
      </c>
      <c r="C124" s="1"/>
      <c r="D124" s="1"/>
      <c r="E124" t="s">
        <v>223</v>
      </c>
      <c r="F124" s="79"/>
      <c r="G124" s="1" t="s">
        <v>140</v>
      </c>
      <c r="H124" s="1" t="e">
        <f>Worksheet!P30</f>
        <v>#N/A</v>
      </c>
      <c r="AC124" s="1" t="e">
        <f>SUM(I124:INDEX(I124:AB124,Level))+H124</f>
        <v>#N/A</v>
      </c>
      <c r="AD124" s="45" t="e">
        <f t="shared" si="124"/>
        <v>#N/A</v>
      </c>
      <c r="AE124" s="45" cm="1">
        <f t="array" aca="1" ref="AE124" ca="1">IF(G124="NA",0,INDIRECT(LEFT(G124,2))+INDIRECT(MID(G124,4,2))+INDIRECT(RIGHT(G124,2)))</f>
        <v>0</v>
      </c>
      <c r="AF124" s="45">
        <f t="shared" si="121"/>
        <v>0</v>
      </c>
      <c r="AG124" s="45">
        <f t="shared" si="122"/>
        <v>0</v>
      </c>
      <c r="AH124" s="45"/>
      <c r="AI124" s="51" t="e">
        <f t="shared" si="98"/>
        <v>#N/A</v>
      </c>
      <c r="AM124" s="72">
        <f t="shared" si="125"/>
        <v>0</v>
      </c>
      <c r="AN124" s="72">
        <f t="shared" si="126"/>
        <v>0</v>
      </c>
      <c r="AO124" s="72">
        <f t="shared" si="127"/>
        <v>0</v>
      </c>
      <c r="AP124" s="72">
        <f t="shared" si="128"/>
        <v>0</v>
      </c>
      <c r="AQ124" s="72">
        <f t="shared" si="129"/>
        <v>0</v>
      </c>
      <c r="AR124" s="72">
        <f t="shared" si="130"/>
        <v>0</v>
      </c>
      <c r="AS124" s="72">
        <f t="shared" si="131"/>
        <v>0</v>
      </c>
      <c r="AT124" s="72">
        <f t="shared" si="132"/>
        <v>0</v>
      </c>
      <c r="AU124" s="72">
        <f t="shared" si="133"/>
        <v>0</v>
      </c>
      <c r="AV124" s="72">
        <f t="shared" si="134"/>
        <v>0</v>
      </c>
      <c r="AW124" s="72">
        <f t="shared" si="135"/>
        <v>0</v>
      </c>
      <c r="AX124" s="72">
        <f t="shared" si="136"/>
        <v>0</v>
      </c>
      <c r="AY124" s="72">
        <f t="shared" si="137"/>
        <v>0</v>
      </c>
      <c r="AZ124" s="72">
        <f t="shared" si="138"/>
        <v>0</v>
      </c>
      <c r="BA124" s="72">
        <f t="shared" si="139"/>
        <v>0</v>
      </c>
      <c r="BB124" s="72">
        <f t="shared" si="140"/>
        <v>0</v>
      </c>
      <c r="BC124" s="72">
        <f t="shared" si="141"/>
        <v>0</v>
      </c>
      <c r="BD124" s="72">
        <f t="shared" si="142"/>
        <v>0</v>
      </c>
      <c r="BE124" s="72">
        <f t="shared" si="143"/>
        <v>0</v>
      </c>
      <c r="BF124" s="72">
        <f t="shared" si="144"/>
        <v>0</v>
      </c>
    </row>
    <row r="125" spans="1:58" x14ac:dyDescent="0.25">
      <c r="A125" s="34" t="s">
        <v>227</v>
      </c>
      <c r="B125" s="1" t="e">
        <f t="shared" si="123"/>
        <v>#N/A</v>
      </c>
      <c r="C125" s="1"/>
      <c r="D125" s="1"/>
      <c r="E125" t="s">
        <v>228</v>
      </c>
      <c r="F125" s="77" t="s">
        <v>131</v>
      </c>
      <c r="G125" s="1" t="s">
        <v>232</v>
      </c>
      <c r="H125" s="76"/>
      <c r="AC125" s="1">
        <f>SUM(I125:INDEX(I125:AB125,Level))+H125</f>
        <v>0</v>
      </c>
      <c r="AD125" s="45">
        <f t="shared" si="124"/>
        <v>-25</v>
      </c>
      <c r="AE125" s="45" cm="1">
        <f t="array" aca="1" ref="AE125" ca="1">IF(G125="NA",0,INDIRECT(LEFT(G125,2))+INDIRECT(MID(G125,4,2))+INDIRECT(RIGHT(G125,2)))</f>
        <v>0</v>
      </c>
      <c r="AF125" s="45">
        <f t="shared" si="121"/>
        <v>0</v>
      </c>
      <c r="AG125" s="45">
        <f t="shared" si="122"/>
        <v>0</v>
      </c>
      <c r="AH125" s="45"/>
      <c r="AI125" s="51">
        <f t="shared" ca="1" si="98"/>
        <v>-25</v>
      </c>
      <c r="AM125" s="72">
        <f t="shared" si="125"/>
        <v>0</v>
      </c>
      <c r="AN125" s="72">
        <f t="shared" si="126"/>
        <v>0</v>
      </c>
      <c r="AO125" s="72">
        <f t="shared" si="127"/>
        <v>0</v>
      </c>
      <c r="AP125" s="72">
        <f t="shared" si="128"/>
        <v>0</v>
      </c>
      <c r="AQ125" s="72">
        <f t="shared" si="129"/>
        <v>0</v>
      </c>
      <c r="AR125" s="72">
        <f t="shared" si="130"/>
        <v>0</v>
      </c>
      <c r="AS125" s="72">
        <f t="shared" si="131"/>
        <v>0</v>
      </c>
      <c r="AT125" s="72">
        <f t="shared" si="132"/>
        <v>0</v>
      </c>
      <c r="AU125" s="72">
        <f t="shared" si="133"/>
        <v>0</v>
      </c>
      <c r="AV125" s="72">
        <f t="shared" si="134"/>
        <v>0</v>
      </c>
      <c r="AW125" s="72">
        <f t="shared" si="135"/>
        <v>0</v>
      </c>
      <c r="AX125" s="72">
        <f t="shared" si="136"/>
        <v>0</v>
      </c>
      <c r="AY125" s="72">
        <f t="shared" si="137"/>
        <v>0</v>
      </c>
      <c r="AZ125" s="72">
        <f t="shared" si="138"/>
        <v>0</v>
      </c>
      <c r="BA125" s="72">
        <f t="shared" si="139"/>
        <v>0</v>
      </c>
      <c r="BB125" s="72">
        <f t="shared" si="140"/>
        <v>0</v>
      </c>
      <c r="BC125" s="72">
        <f t="shared" si="141"/>
        <v>0</v>
      </c>
      <c r="BD125" s="72">
        <f t="shared" si="142"/>
        <v>0</v>
      </c>
      <c r="BE125" s="72">
        <f t="shared" si="143"/>
        <v>0</v>
      </c>
      <c r="BF125" s="72">
        <f t="shared" si="144"/>
        <v>0</v>
      </c>
    </row>
    <row r="126" spans="1:58" x14ac:dyDescent="0.25">
      <c r="A126" s="34" t="s">
        <v>227</v>
      </c>
      <c r="B126" s="1" t="e">
        <f t="shared" ref="B126:B128" si="170">VLOOKUP(A126,Table_Profession_Skills,VLOOKUP(Profession,Table_Profession,2,FALSE)+1,FALSE)</f>
        <v>#N/A</v>
      </c>
      <c r="C126" s="1"/>
      <c r="D126" s="1"/>
      <c r="E126" t="s">
        <v>228</v>
      </c>
      <c r="F126" s="77" t="s">
        <v>133</v>
      </c>
      <c r="G126" s="1" t="s">
        <v>232</v>
      </c>
      <c r="H126" s="76"/>
      <c r="AC126" s="1">
        <f>SUM(I126:INDEX(I126:AB126,Level))+H126</f>
        <v>0</v>
      </c>
      <c r="AD126" s="45">
        <f t="shared" ref="AD126:AD128" si="171">IF(AC126&gt;30,100+AC126,VLOOKUP(AC126,Rank_Bonus,2,FALSE))</f>
        <v>-25</v>
      </c>
      <c r="AE126" s="45" cm="1">
        <f t="array" aca="1" ref="AE126" ca="1">IF(G126="NA",0,INDIRECT(LEFT(G126,2))+INDIRECT(MID(G126,4,2))+INDIRECT(RIGHT(G126,2)))</f>
        <v>0</v>
      </c>
      <c r="AF126" s="45">
        <f t="shared" ref="AF126:AF128" si="172">IF(C126="X",MIN(30,AC126),0)</f>
        <v>0</v>
      </c>
      <c r="AG126" s="45">
        <f t="shared" ref="AG126:AG128" si="173">IF(D126="X",5,0)</f>
        <v>0</v>
      </c>
      <c r="AH126" s="45"/>
      <c r="AI126" s="51">
        <f t="shared" ref="AI126:AI128" ca="1" si="174">SUM(AD126:AH126)</f>
        <v>-25</v>
      </c>
      <c r="AM126" s="72">
        <f t="shared" ref="AM126:AM128" si="175">_xlfn.NUMBERVALUE(IF(I126=0,0,IF(I126=1,LEFT($B126,FIND("/",$B126)-1),SUM(LEFT($B126,FIND("/",$B126)-1),RIGHT($B126,LEN($B126)-FIND("/",$B126))))))</f>
        <v>0</v>
      </c>
      <c r="AN126" s="72">
        <f t="shared" ref="AN126:AN128" si="176">_xlfn.NUMBERVALUE(IF(J126=0,0,IF(J126=1,LEFT($B126,FIND("/",$B126)-1),SUM(LEFT($B126,FIND("/",$B126)-1),RIGHT($B126,LEN($B126)-FIND("/",$B126))))))</f>
        <v>0</v>
      </c>
      <c r="AO126" s="72">
        <f t="shared" ref="AO126:AO128" si="177">_xlfn.NUMBERVALUE(IF(K126=0,0,IF(K126=1,LEFT($B126,FIND("/",$B126)-1),SUM(LEFT($B126,FIND("/",$B126)-1),RIGHT($B126,LEN($B126)-FIND("/",$B126))))))</f>
        <v>0</v>
      </c>
      <c r="AP126" s="72">
        <f t="shared" ref="AP126:AP128" si="178">_xlfn.NUMBERVALUE(IF(L126=0,0,IF(L126=1,LEFT($B126,FIND("/",$B126)-1),SUM(LEFT($B126,FIND("/",$B126)-1),RIGHT($B126,LEN($B126)-FIND("/",$B126))))))</f>
        <v>0</v>
      </c>
      <c r="AQ126" s="72">
        <f t="shared" ref="AQ126:AQ128" si="179">_xlfn.NUMBERVALUE(IF(M126=0,0,IF(M126=1,LEFT($B126,FIND("/",$B126)-1),SUM(LEFT($B126,FIND("/",$B126)-1),RIGHT($B126,LEN($B126)-FIND("/",$B126))))))</f>
        <v>0</v>
      </c>
      <c r="AR126" s="72">
        <f t="shared" ref="AR126:AR128" si="180">_xlfn.NUMBERVALUE(IF(N126=0,0,IF(N126=1,LEFT($B126,FIND("/",$B126)-1),SUM(LEFT($B126,FIND("/",$B126)-1),RIGHT($B126,LEN($B126)-FIND("/",$B126))))))</f>
        <v>0</v>
      </c>
      <c r="AS126" s="72">
        <f t="shared" ref="AS126:AS128" si="181">_xlfn.NUMBERVALUE(IF(O126=0,0,IF(O126=1,LEFT($B126,FIND("/",$B126)-1),SUM(LEFT($B126,FIND("/",$B126)-1),RIGHT($B126,LEN($B126)-FIND("/",$B126))))))</f>
        <v>0</v>
      </c>
      <c r="AT126" s="72">
        <f t="shared" ref="AT126:AT128" si="182">_xlfn.NUMBERVALUE(IF(P126=0,0,IF(P126=1,LEFT($B126,FIND("/",$B126)-1),SUM(LEFT($B126,FIND("/",$B126)-1),RIGHT($B126,LEN($B126)-FIND("/",$B126))))))</f>
        <v>0</v>
      </c>
      <c r="AU126" s="72">
        <f t="shared" ref="AU126:AU128" si="183">_xlfn.NUMBERVALUE(IF(Q126=0,0,IF(Q126=1,LEFT($B126,FIND("/",$B126)-1),SUM(LEFT($B126,FIND("/",$B126)-1),RIGHT($B126,LEN($B126)-FIND("/",$B126))))))</f>
        <v>0</v>
      </c>
      <c r="AV126" s="72">
        <f t="shared" ref="AV126:AV128" si="184">_xlfn.NUMBERVALUE(IF(R126=0,0,IF(R126=1,LEFT($B126,FIND("/",$B126)-1),SUM(LEFT($B126,FIND("/",$B126)-1),RIGHT($B126,LEN($B126)-FIND("/",$B126))))))</f>
        <v>0</v>
      </c>
      <c r="AW126" s="72">
        <f t="shared" ref="AW126:AW128" si="185">_xlfn.NUMBERVALUE(IF(S126=0,0,IF(S126=1,LEFT($B126,FIND("/",$B126)-1),SUM(LEFT($B126,FIND("/",$B126)-1),RIGHT($B126,LEN($B126)-FIND("/",$B126))))))</f>
        <v>0</v>
      </c>
      <c r="AX126" s="72">
        <f t="shared" ref="AX126:AX128" si="186">_xlfn.NUMBERVALUE(IF(T126=0,0,IF(T126=1,LEFT($B126,FIND("/",$B126)-1),SUM(LEFT($B126,FIND("/",$B126)-1),RIGHT($B126,LEN($B126)-FIND("/",$B126))))))</f>
        <v>0</v>
      </c>
      <c r="AY126" s="72">
        <f t="shared" ref="AY126:AY128" si="187">_xlfn.NUMBERVALUE(IF(U126=0,0,IF(U126=1,LEFT($B126,FIND("/",$B126)-1),SUM(LEFT($B126,FIND("/",$B126)-1),RIGHT($B126,LEN($B126)-FIND("/",$B126))))))</f>
        <v>0</v>
      </c>
      <c r="AZ126" s="72">
        <f t="shared" ref="AZ126:AZ128" si="188">_xlfn.NUMBERVALUE(IF(V126=0,0,IF(V126=1,LEFT($B126,FIND("/",$B126)-1),SUM(LEFT($B126,FIND("/",$B126)-1),RIGHT($B126,LEN($B126)-FIND("/",$B126))))))</f>
        <v>0</v>
      </c>
      <c r="BA126" s="72">
        <f t="shared" ref="BA126:BA128" si="189">_xlfn.NUMBERVALUE(IF(W126=0,0,IF(W126=1,LEFT($B126,FIND("/",$B126)-1),SUM(LEFT($B126,FIND("/",$B126)-1),RIGHT($B126,LEN($B126)-FIND("/",$B126))))))</f>
        <v>0</v>
      </c>
      <c r="BB126" s="72">
        <f t="shared" ref="BB126:BB128" si="190">_xlfn.NUMBERVALUE(IF(X126=0,0,IF(X126=1,LEFT($B126,FIND("/",$B126)-1),SUM(LEFT($B126,FIND("/",$B126)-1),RIGHT($B126,LEN($B126)-FIND("/",$B126))))))</f>
        <v>0</v>
      </c>
      <c r="BC126" s="72">
        <f t="shared" ref="BC126:BC128" si="191">_xlfn.NUMBERVALUE(IF(Y126=0,0,IF(Y126=1,LEFT($B126,FIND("/",$B126)-1),SUM(LEFT($B126,FIND("/",$B126)-1),RIGHT($B126,LEN($B126)-FIND("/",$B126))))))</f>
        <v>0</v>
      </c>
      <c r="BD126" s="72">
        <f t="shared" ref="BD126:BD128" si="192">_xlfn.NUMBERVALUE(IF(Z126=0,0,IF(Z126=1,LEFT($B126,FIND("/",$B126)-1),SUM(LEFT($B126,FIND("/",$B126)-1),RIGHT($B126,LEN($B126)-FIND("/",$B126))))))</f>
        <v>0</v>
      </c>
      <c r="BE126" s="72">
        <f t="shared" ref="BE126:BE128" si="193">_xlfn.NUMBERVALUE(IF(AA126=0,0,IF(AA126=1,LEFT($B126,FIND("/",$B126)-1),SUM(LEFT($B126,FIND("/",$B126)-1),RIGHT($B126,LEN($B126)-FIND("/",$B126))))))</f>
        <v>0</v>
      </c>
      <c r="BF126" s="72">
        <f t="shared" ref="BF126:BF128" si="194">_xlfn.NUMBERVALUE(IF(AB126=0,0,IF(AB126=1,LEFT($B126,FIND("/",$B126)-1),SUM(LEFT($B126,FIND("/",$B126)-1),RIGHT($B126,LEN($B126)-FIND("/",$B126))))))</f>
        <v>0</v>
      </c>
    </row>
    <row r="127" spans="1:58" x14ac:dyDescent="0.25">
      <c r="A127" s="34" t="s">
        <v>227</v>
      </c>
      <c r="B127" s="1" t="e">
        <f t="shared" si="170"/>
        <v>#N/A</v>
      </c>
      <c r="C127" s="1"/>
      <c r="D127" s="1"/>
      <c r="E127" t="s">
        <v>228</v>
      </c>
      <c r="F127" s="77" t="s">
        <v>528</v>
      </c>
      <c r="G127" s="1" t="s">
        <v>232</v>
      </c>
      <c r="H127" s="76"/>
      <c r="AC127" s="1">
        <f>SUM(I127:INDEX(I127:AB127,Level))+H127</f>
        <v>0</v>
      </c>
      <c r="AD127" s="45">
        <f t="shared" si="171"/>
        <v>-25</v>
      </c>
      <c r="AE127" s="45" cm="1">
        <f t="array" aca="1" ref="AE127" ca="1">IF(G127="NA",0,INDIRECT(LEFT(G127,2))+INDIRECT(MID(G127,4,2))+INDIRECT(RIGHT(G127,2)))</f>
        <v>0</v>
      </c>
      <c r="AF127" s="45">
        <f t="shared" si="172"/>
        <v>0</v>
      </c>
      <c r="AG127" s="45">
        <f t="shared" si="173"/>
        <v>0</v>
      </c>
      <c r="AH127" s="45"/>
      <c r="AI127" s="51">
        <f t="shared" ca="1" si="174"/>
        <v>-25</v>
      </c>
      <c r="AM127" s="72">
        <f t="shared" si="175"/>
        <v>0</v>
      </c>
      <c r="AN127" s="72">
        <f t="shared" si="176"/>
        <v>0</v>
      </c>
      <c r="AO127" s="72">
        <f t="shared" si="177"/>
        <v>0</v>
      </c>
      <c r="AP127" s="72">
        <f t="shared" si="178"/>
        <v>0</v>
      </c>
      <c r="AQ127" s="72">
        <f t="shared" si="179"/>
        <v>0</v>
      </c>
      <c r="AR127" s="72">
        <f t="shared" si="180"/>
        <v>0</v>
      </c>
      <c r="AS127" s="72">
        <f t="shared" si="181"/>
        <v>0</v>
      </c>
      <c r="AT127" s="72">
        <f t="shared" si="182"/>
        <v>0</v>
      </c>
      <c r="AU127" s="72">
        <f t="shared" si="183"/>
        <v>0</v>
      </c>
      <c r="AV127" s="72">
        <f t="shared" si="184"/>
        <v>0</v>
      </c>
      <c r="AW127" s="72">
        <f t="shared" si="185"/>
        <v>0</v>
      </c>
      <c r="AX127" s="72">
        <f t="shared" si="186"/>
        <v>0</v>
      </c>
      <c r="AY127" s="72">
        <f t="shared" si="187"/>
        <v>0</v>
      </c>
      <c r="AZ127" s="72">
        <f t="shared" si="188"/>
        <v>0</v>
      </c>
      <c r="BA127" s="72">
        <f t="shared" si="189"/>
        <v>0</v>
      </c>
      <c r="BB127" s="72">
        <f t="shared" si="190"/>
        <v>0</v>
      </c>
      <c r="BC127" s="72">
        <f t="shared" si="191"/>
        <v>0</v>
      </c>
      <c r="BD127" s="72">
        <f t="shared" si="192"/>
        <v>0</v>
      </c>
      <c r="BE127" s="72">
        <f t="shared" si="193"/>
        <v>0</v>
      </c>
      <c r="BF127" s="72">
        <f t="shared" si="194"/>
        <v>0</v>
      </c>
    </row>
    <row r="128" spans="1:58" x14ac:dyDescent="0.25">
      <c r="A128" s="34" t="s">
        <v>227</v>
      </c>
      <c r="B128" s="1" t="e">
        <f t="shared" si="170"/>
        <v>#N/A</v>
      </c>
      <c r="C128" s="1"/>
      <c r="D128" s="1"/>
      <c r="E128" t="s">
        <v>228</v>
      </c>
      <c r="F128" s="77" t="s">
        <v>529</v>
      </c>
      <c r="G128" s="1" t="s">
        <v>232</v>
      </c>
      <c r="H128" s="76"/>
      <c r="AC128" s="1">
        <f>SUM(I128:INDEX(I128:AB128,Level))+H128</f>
        <v>0</v>
      </c>
      <c r="AD128" s="45">
        <f t="shared" si="171"/>
        <v>-25</v>
      </c>
      <c r="AE128" s="45" cm="1">
        <f t="array" aca="1" ref="AE128" ca="1">IF(G128="NA",0,INDIRECT(LEFT(G128,2))+INDIRECT(MID(G128,4,2))+INDIRECT(RIGHT(G128,2)))</f>
        <v>0</v>
      </c>
      <c r="AF128" s="45">
        <f t="shared" si="172"/>
        <v>0</v>
      </c>
      <c r="AG128" s="45">
        <f t="shared" si="173"/>
        <v>0</v>
      </c>
      <c r="AH128" s="45"/>
      <c r="AI128" s="51">
        <f t="shared" ca="1" si="174"/>
        <v>-25</v>
      </c>
      <c r="AM128" s="72">
        <f t="shared" si="175"/>
        <v>0</v>
      </c>
      <c r="AN128" s="72">
        <f t="shared" si="176"/>
        <v>0</v>
      </c>
      <c r="AO128" s="72">
        <f t="shared" si="177"/>
        <v>0</v>
      </c>
      <c r="AP128" s="72">
        <f t="shared" si="178"/>
        <v>0</v>
      </c>
      <c r="AQ128" s="72">
        <f t="shared" si="179"/>
        <v>0</v>
      </c>
      <c r="AR128" s="72">
        <f t="shared" si="180"/>
        <v>0</v>
      </c>
      <c r="AS128" s="72">
        <f t="shared" si="181"/>
        <v>0</v>
      </c>
      <c r="AT128" s="72">
        <f t="shared" si="182"/>
        <v>0</v>
      </c>
      <c r="AU128" s="72">
        <f t="shared" si="183"/>
        <v>0</v>
      </c>
      <c r="AV128" s="72">
        <f t="shared" si="184"/>
        <v>0</v>
      </c>
      <c r="AW128" s="72">
        <f t="shared" si="185"/>
        <v>0</v>
      </c>
      <c r="AX128" s="72">
        <f t="shared" si="186"/>
        <v>0</v>
      </c>
      <c r="AY128" s="72">
        <f t="shared" si="187"/>
        <v>0</v>
      </c>
      <c r="AZ128" s="72">
        <f t="shared" si="188"/>
        <v>0</v>
      </c>
      <c r="BA128" s="72">
        <f t="shared" si="189"/>
        <v>0</v>
      </c>
      <c r="BB128" s="72">
        <f t="shared" si="190"/>
        <v>0</v>
      </c>
      <c r="BC128" s="72">
        <f t="shared" si="191"/>
        <v>0</v>
      </c>
      <c r="BD128" s="72">
        <f t="shared" si="192"/>
        <v>0</v>
      </c>
      <c r="BE128" s="72">
        <f t="shared" si="193"/>
        <v>0</v>
      </c>
      <c r="BF128" s="72">
        <f t="shared" si="194"/>
        <v>0</v>
      </c>
    </row>
    <row r="129" spans="1:58" x14ac:dyDescent="0.25">
      <c r="A129" s="34" t="s">
        <v>227</v>
      </c>
      <c r="B129" s="1" t="e">
        <f t="shared" si="123"/>
        <v>#N/A</v>
      </c>
      <c r="C129" s="1"/>
      <c r="D129" s="1"/>
      <c r="E129" t="s">
        <v>228</v>
      </c>
      <c r="F129" s="77" t="s">
        <v>530</v>
      </c>
      <c r="G129" s="1" t="s">
        <v>232</v>
      </c>
      <c r="H129" s="76"/>
      <c r="AC129" s="1">
        <f>SUM(I129:INDEX(I129:AB129,Level))+H129</f>
        <v>0</v>
      </c>
      <c r="AD129" s="45">
        <f t="shared" si="124"/>
        <v>-25</v>
      </c>
      <c r="AE129" s="45" cm="1">
        <f t="array" aca="1" ref="AE129" ca="1">IF(G129="NA",0,INDIRECT(LEFT(G129,2))+INDIRECT(MID(G129,4,2))+INDIRECT(RIGHT(G129,2)))</f>
        <v>0</v>
      </c>
      <c r="AF129" s="45">
        <f t="shared" si="121"/>
        <v>0</v>
      </c>
      <c r="AG129" s="45">
        <f t="shared" si="122"/>
        <v>0</v>
      </c>
      <c r="AH129" s="45"/>
      <c r="AI129" s="51">
        <f t="shared" ca="1" si="98"/>
        <v>-25</v>
      </c>
      <c r="AM129" s="72">
        <f t="shared" si="125"/>
        <v>0</v>
      </c>
      <c r="AN129" s="72">
        <f t="shared" si="126"/>
        <v>0</v>
      </c>
      <c r="AO129" s="72">
        <f t="shared" si="127"/>
        <v>0</v>
      </c>
      <c r="AP129" s="72">
        <f t="shared" si="128"/>
        <v>0</v>
      </c>
      <c r="AQ129" s="72">
        <f t="shared" si="129"/>
        <v>0</v>
      </c>
      <c r="AR129" s="72">
        <f t="shared" si="130"/>
        <v>0</v>
      </c>
      <c r="AS129" s="72">
        <f t="shared" si="131"/>
        <v>0</v>
      </c>
      <c r="AT129" s="72">
        <f t="shared" si="132"/>
        <v>0</v>
      </c>
      <c r="AU129" s="72">
        <f t="shared" si="133"/>
        <v>0</v>
      </c>
      <c r="AV129" s="72">
        <f t="shared" si="134"/>
        <v>0</v>
      </c>
      <c r="AW129" s="72">
        <f t="shared" si="135"/>
        <v>0</v>
      </c>
      <c r="AX129" s="72">
        <f t="shared" si="136"/>
        <v>0</v>
      </c>
      <c r="AY129" s="72">
        <f t="shared" si="137"/>
        <v>0</v>
      </c>
      <c r="AZ129" s="72">
        <f t="shared" si="138"/>
        <v>0</v>
      </c>
      <c r="BA129" s="72">
        <f t="shared" si="139"/>
        <v>0</v>
      </c>
      <c r="BB129" s="72">
        <f t="shared" si="140"/>
        <v>0</v>
      </c>
      <c r="BC129" s="72">
        <f t="shared" si="141"/>
        <v>0</v>
      </c>
      <c r="BD129" s="72">
        <f t="shared" si="142"/>
        <v>0</v>
      </c>
      <c r="BE129" s="72">
        <f t="shared" si="143"/>
        <v>0</v>
      </c>
      <c r="BF129" s="72">
        <f t="shared" si="144"/>
        <v>0</v>
      </c>
    </row>
    <row r="130" spans="1:58" x14ac:dyDescent="0.25">
      <c r="A130" s="34" t="s">
        <v>227</v>
      </c>
      <c r="B130" s="1" t="e">
        <f t="shared" si="123"/>
        <v>#N/A</v>
      </c>
      <c r="C130" s="1"/>
      <c r="D130" s="1"/>
      <c r="E130" t="s">
        <v>229</v>
      </c>
      <c r="F130" s="79"/>
      <c r="G130" s="1" t="s">
        <v>232</v>
      </c>
      <c r="H130" s="1" t="e">
        <f>Worksheet!P31</f>
        <v>#N/A</v>
      </c>
      <c r="AC130" s="1" t="e">
        <f>SUM(I130:INDEX(I130:AB130,Level))+H130</f>
        <v>#N/A</v>
      </c>
      <c r="AD130" s="45" t="e">
        <f t="shared" si="124"/>
        <v>#N/A</v>
      </c>
      <c r="AE130" s="45" cm="1">
        <f t="array" aca="1" ref="AE130" ca="1">IF(G130="NA",0,INDIRECT(LEFT(G130,2))+INDIRECT(MID(G130,4,2))+INDIRECT(RIGHT(G130,2)))</f>
        <v>0</v>
      </c>
      <c r="AF130" s="45">
        <f t="shared" si="121"/>
        <v>0</v>
      </c>
      <c r="AG130" s="45">
        <f t="shared" si="122"/>
        <v>0</v>
      </c>
      <c r="AH130" s="45"/>
      <c r="AI130" s="51" t="e">
        <f t="shared" si="98"/>
        <v>#N/A</v>
      </c>
      <c r="AM130" s="72">
        <f t="shared" si="125"/>
        <v>0</v>
      </c>
      <c r="AN130" s="72">
        <f t="shared" si="126"/>
        <v>0</v>
      </c>
      <c r="AO130" s="72">
        <f t="shared" si="127"/>
        <v>0</v>
      </c>
      <c r="AP130" s="72">
        <f t="shared" si="128"/>
        <v>0</v>
      </c>
      <c r="AQ130" s="72">
        <f t="shared" si="129"/>
        <v>0</v>
      </c>
      <c r="AR130" s="72">
        <f t="shared" si="130"/>
        <v>0</v>
      </c>
      <c r="AS130" s="72">
        <f t="shared" si="131"/>
        <v>0</v>
      </c>
      <c r="AT130" s="72">
        <f t="shared" si="132"/>
        <v>0</v>
      </c>
      <c r="AU130" s="72">
        <f t="shared" si="133"/>
        <v>0</v>
      </c>
      <c r="AV130" s="72">
        <f t="shared" si="134"/>
        <v>0</v>
      </c>
      <c r="AW130" s="72">
        <f t="shared" si="135"/>
        <v>0</v>
      </c>
      <c r="AX130" s="72">
        <f t="shared" si="136"/>
        <v>0</v>
      </c>
      <c r="AY130" s="72">
        <f t="shared" si="137"/>
        <v>0</v>
      </c>
      <c r="AZ130" s="72">
        <f t="shared" si="138"/>
        <v>0</v>
      </c>
      <c r="BA130" s="72">
        <f t="shared" si="139"/>
        <v>0</v>
      </c>
      <c r="BB130" s="72">
        <f t="shared" si="140"/>
        <v>0</v>
      </c>
      <c r="BC130" s="72">
        <f t="shared" si="141"/>
        <v>0</v>
      </c>
      <c r="BD130" s="72">
        <f t="shared" si="142"/>
        <v>0</v>
      </c>
      <c r="BE130" s="72">
        <f t="shared" si="143"/>
        <v>0</v>
      </c>
      <c r="BF130" s="72">
        <f t="shared" si="144"/>
        <v>0</v>
      </c>
    </row>
    <row r="131" spans="1:58" x14ac:dyDescent="0.25">
      <c r="A131" s="34" t="s">
        <v>227</v>
      </c>
      <c r="B131" s="1" t="e">
        <f t="shared" si="123"/>
        <v>#N/A</v>
      </c>
      <c r="C131" s="1"/>
      <c r="D131" s="1"/>
      <c r="E131" t="s">
        <v>230</v>
      </c>
      <c r="F131" s="79"/>
      <c r="G131" s="1" t="s">
        <v>232</v>
      </c>
      <c r="H131" s="1" t="e">
        <f>Worksheet!P32</f>
        <v>#N/A</v>
      </c>
      <c r="AC131" s="1" t="e">
        <f>SUM(I131:INDEX(I131:AB131,Level))+H131</f>
        <v>#N/A</v>
      </c>
      <c r="AD131" s="45" t="e">
        <f t="shared" si="124"/>
        <v>#N/A</v>
      </c>
      <c r="AE131" s="45" cm="1">
        <f t="array" aca="1" ref="AE131" ca="1">IF(G131="NA",0,INDIRECT(LEFT(G131,2))+INDIRECT(MID(G131,4,2))+INDIRECT(RIGHT(G131,2)))</f>
        <v>0</v>
      </c>
      <c r="AF131" s="45">
        <f t="shared" si="121"/>
        <v>0</v>
      </c>
      <c r="AG131" s="45">
        <f t="shared" si="122"/>
        <v>0</v>
      </c>
      <c r="AH131" s="45"/>
      <c r="AI131" s="51" t="e">
        <f t="shared" si="98"/>
        <v>#N/A</v>
      </c>
      <c r="AM131" s="72">
        <f t="shared" si="125"/>
        <v>0</v>
      </c>
      <c r="AN131" s="72">
        <f t="shared" si="126"/>
        <v>0</v>
      </c>
      <c r="AO131" s="72">
        <f t="shared" si="127"/>
        <v>0</v>
      </c>
      <c r="AP131" s="72">
        <f t="shared" si="128"/>
        <v>0</v>
      </c>
      <c r="AQ131" s="72">
        <f t="shared" si="129"/>
        <v>0</v>
      </c>
      <c r="AR131" s="72">
        <f t="shared" si="130"/>
        <v>0</v>
      </c>
      <c r="AS131" s="72">
        <f t="shared" si="131"/>
        <v>0</v>
      </c>
      <c r="AT131" s="72">
        <f t="shared" si="132"/>
        <v>0</v>
      </c>
      <c r="AU131" s="72">
        <f t="shared" si="133"/>
        <v>0</v>
      </c>
      <c r="AV131" s="72">
        <f t="shared" si="134"/>
        <v>0</v>
      </c>
      <c r="AW131" s="72">
        <f t="shared" si="135"/>
        <v>0</v>
      </c>
      <c r="AX131" s="72">
        <f t="shared" si="136"/>
        <v>0</v>
      </c>
      <c r="AY131" s="72">
        <f t="shared" si="137"/>
        <v>0</v>
      </c>
      <c r="AZ131" s="72">
        <f t="shared" si="138"/>
        <v>0</v>
      </c>
      <c r="BA131" s="72">
        <f t="shared" si="139"/>
        <v>0</v>
      </c>
      <c r="BB131" s="72">
        <f t="shared" si="140"/>
        <v>0</v>
      </c>
      <c r="BC131" s="72">
        <f t="shared" si="141"/>
        <v>0</v>
      </c>
      <c r="BD131" s="72">
        <f t="shared" si="142"/>
        <v>0</v>
      </c>
      <c r="BE131" s="72">
        <f t="shared" si="143"/>
        <v>0</v>
      </c>
      <c r="BF131" s="72">
        <f t="shared" si="144"/>
        <v>0</v>
      </c>
    </row>
    <row r="132" spans="1:58" x14ac:dyDescent="0.25">
      <c r="A132" s="34" t="s">
        <v>227</v>
      </c>
      <c r="B132" s="1" t="e">
        <f t="shared" si="123"/>
        <v>#N/A</v>
      </c>
      <c r="C132" s="1"/>
      <c r="D132" s="1"/>
      <c r="E132" t="s">
        <v>231</v>
      </c>
      <c r="F132" s="79"/>
      <c r="G132" s="1" t="s">
        <v>232</v>
      </c>
      <c r="H132" s="76"/>
      <c r="AC132" s="1">
        <f>SUM(I132:INDEX(I132:AB132,Level))+H132</f>
        <v>0</v>
      </c>
      <c r="AD132" s="45">
        <f t="shared" si="124"/>
        <v>-25</v>
      </c>
      <c r="AE132" s="45" cm="1">
        <f t="array" aca="1" ref="AE132" ca="1">IF(G132="NA",0,INDIRECT(LEFT(G132,2))+INDIRECT(MID(G132,4,2))+INDIRECT(RIGHT(G132,2)))</f>
        <v>0</v>
      </c>
      <c r="AF132" s="45">
        <f t="shared" si="121"/>
        <v>0</v>
      </c>
      <c r="AG132" s="45">
        <f t="shared" si="122"/>
        <v>0</v>
      </c>
      <c r="AH132" s="45"/>
      <c r="AI132" s="51">
        <f t="shared" ca="1" si="98"/>
        <v>-25</v>
      </c>
      <c r="AM132" s="72">
        <f t="shared" si="125"/>
        <v>0</v>
      </c>
      <c r="AN132" s="72">
        <f t="shared" si="126"/>
        <v>0</v>
      </c>
      <c r="AO132" s="72">
        <f t="shared" si="127"/>
        <v>0</v>
      </c>
      <c r="AP132" s="72">
        <f t="shared" si="128"/>
        <v>0</v>
      </c>
      <c r="AQ132" s="72">
        <f t="shared" si="129"/>
        <v>0</v>
      </c>
      <c r="AR132" s="72">
        <f t="shared" si="130"/>
        <v>0</v>
      </c>
      <c r="AS132" s="72">
        <f t="shared" si="131"/>
        <v>0</v>
      </c>
      <c r="AT132" s="72">
        <f t="shared" si="132"/>
        <v>0</v>
      </c>
      <c r="AU132" s="72">
        <f t="shared" si="133"/>
        <v>0</v>
      </c>
      <c r="AV132" s="72">
        <f t="shared" si="134"/>
        <v>0</v>
      </c>
      <c r="AW132" s="72">
        <f t="shared" si="135"/>
        <v>0</v>
      </c>
      <c r="AX132" s="72">
        <f t="shared" si="136"/>
        <v>0</v>
      </c>
      <c r="AY132" s="72">
        <f t="shared" si="137"/>
        <v>0</v>
      </c>
      <c r="AZ132" s="72">
        <f t="shared" si="138"/>
        <v>0</v>
      </c>
      <c r="BA132" s="72">
        <f t="shared" si="139"/>
        <v>0</v>
      </c>
      <c r="BB132" s="72">
        <f t="shared" si="140"/>
        <v>0</v>
      </c>
      <c r="BC132" s="72">
        <f t="shared" si="141"/>
        <v>0</v>
      </c>
      <c r="BD132" s="72">
        <f t="shared" si="142"/>
        <v>0</v>
      </c>
      <c r="BE132" s="72">
        <f t="shared" si="143"/>
        <v>0</v>
      </c>
      <c r="BF132" s="72">
        <f t="shared" si="144"/>
        <v>0</v>
      </c>
    </row>
    <row r="133" spans="1:58" x14ac:dyDescent="0.25">
      <c r="A133" s="34" t="s">
        <v>233</v>
      </c>
      <c r="B133" s="1" t="e">
        <f t="shared" si="123"/>
        <v>#N/A</v>
      </c>
      <c r="C133" s="1"/>
      <c r="D133" s="1"/>
      <c r="E133" t="s">
        <v>234</v>
      </c>
      <c r="F133" s="79"/>
      <c r="G133" s="1" t="s">
        <v>237</v>
      </c>
      <c r="H133" s="76"/>
      <c r="AC133" s="1">
        <f>SUM(I133:INDEX(I133:AB133,Level))+H133</f>
        <v>0</v>
      </c>
      <c r="AD133" s="45">
        <f t="shared" si="124"/>
        <v>-25</v>
      </c>
      <c r="AE133" s="45" cm="1">
        <f t="array" aca="1" ref="AE133" ca="1">IF(G133="NA",0,INDIRECT(LEFT(G133,2))+INDIRECT(MID(G133,4,2))+INDIRECT(RIGHT(G133,2)))</f>
        <v>0</v>
      </c>
      <c r="AF133" s="45">
        <f t="shared" si="121"/>
        <v>0</v>
      </c>
      <c r="AG133" s="45">
        <f t="shared" si="122"/>
        <v>0</v>
      </c>
      <c r="AH133" s="45"/>
      <c r="AI133" s="51">
        <f t="shared" ca="1" si="98"/>
        <v>-25</v>
      </c>
      <c r="AM133" s="72">
        <f t="shared" si="125"/>
        <v>0</v>
      </c>
      <c r="AN133" s="72">
        <f t="shared" si="126"/>
        <v>0</v>
      </c>
      <c r="AO133" s="72">
        <f t="shared" si="127"/>
        <v>0</v>
      </c>
      <c r="AP133" s="72">
        <f t="shared" si="128"/>
        <v>0</v>
      </c>
      <c r="AQ133" s="72">
        <f t="shared" si="129"/>
        <v>0</v>
      </c>
      <c r="AR133" s="72">
        <f t="shared" si="130"/>
        <v>0</v>
      </c>
      <c r="AS133" s="72">
        <f t="shared" si="131"/>
        <v>0</v>
      </c>
      <c r="AT133" s="72">
        <f t="shared" si="132"/>
        <v>0</v>
      </c>
      <c r="AU133" s="72">
        <f t="shared" si="133"/>
        <v>0</v>
      </c>
      <c r="AV133" s="72">
        <f t="shared" si="134"/>
        <v>0</v>
      </c>
      <c r="AW133" s="72">
        <f t="shared" si="135"/>
        <v>0</v>
      </c>
      <c r="AX133" s="72">
        <f t="shared" si="136"/>
        <v>0</v>
      </c>
      <c r="AY133" s="72">
        <f t="shared" si="137"/>
        <v>0</v>
      </c>
      <c r="AZ133" s="72">
        <f t="shared" si="138"/>
        <v>0</v>
      </c>
      <c r="BA133" s="72">
        <f t="shared" si="139"/>
        <v>0</v>
      </c>
      <c r="BB133" s="72">
        <f t="shared" si="140"/>
        <v>0</v>
      </c>
      <c r="BC133" s="72">
        <f t="shared" si="141"/>
        <v>0</v>
      </c>
      <c r="BD133" s="72">
        <f t="shared" si="142"/>
        <v>0</v>
      </c>
      <c r="BE133" s="72">
        <f t="shared" si="143"/>
        <v>0</v>
      </c>
      <c r="BF133" s="72">
        <f t="shared" si="144"/>
        <v>0</v>
      </c>
    </row>
    <row r="134" spans="1:58" x14ac:dyDescent="0.25">
      <c r="A134" s="34" t="s">
        <v>233</v>
      </c>
      <c r="B134" s="1" t="e">
        <f t="shared" si="123"/>
        <v>#N/A</v>
      </c>
      <c r="C134" s="1"/>
      <c r="D134" s="1"/>
      <c r="E134" t="s">
        <v>235</v>
      </c>
      <c r="F134" s="77" t="s">
        <v>531</v>
      </c>
      <c r="G134" s="1" t="s">
        <v>238</v>
      </c>
      <c r="H134" s="76"/>
      <c r="AC134" s="1">
        <f>SUM(I134:INDEX(I134:AB134,Level))+H134</f>
        <v>0</v>
      </c>
      <c r="AD134" s="45">
        <f t="shared" si="124"/>
        <v>-25</v>
      </c>
      <c r="AE134" s="45" cm="1">
        <f t="array" aca="1" ref="AE134" ca="1">IF(G134="NA",0,INDIRECT(LEFT(G134,2))+INDIRECT(MID(G134,4,2))+INDIRECT(RIGHT(G134,2)))</f>
        <v>0</v>
      </c>
      <c r="AF134" s="45">
        <f t="shared" si="121"/>
        <v>0</v>
      </c>
      <c r="AG134" s="45">
        <f t="shared" si="122"/>
        <v>0</v>
      </c>
      <c r="AH134" s="45"/>
      <c r="AI134" s="51">
        <f t="shared" ca="1" si="98"/>
        <v>-25</v>
      </c>
      <c r="AM134" s="72">
        <f t="shared" si="125"/>
        <v>0</v>
      </c>
      <c r="AN134" s="72">
        <f t="shared" si="126"/>
        <v>0</v>
      </c>
      <c r="AO134" s="72">
        <f t="shared" si="127"/>
        <v>0</v>
      </c>
      <c r="AP134" s="72">
        <f t="shared" si="128"/>
        <v>0</v>
      </c>
      <c r="AQ134" s="72">
        <f t="shared" si="129"/>
        <v>0</v>
      </c>
      <c r="AR134" s="72">
        <f t="shared" si="130"/>
        <v>0</v>
      </c>
      <c r="AS134" s="72">
        <f t="shared" si="131"/>
        <v>0</v>
      </c>
      <c r="AT134" s="72">
        <f t="shared" si="132"/>
        <v>0</v>
      </c>
      <c r="AU134" s="72">
        <f t="shared" si="133"/>
        <v>0</v>
      </c>
      <c r="AV134" s="72">
        <f t="shared" si="134"/>
        <v>0</v>
      </c>
      <c r="AW134" s="72">
        <f t="shared" si="135"/>
        <v>0</v>
      </c>
      <c r="AX134" s="72">
        <f t="shared" si="136"/>
        <v>0</v>
      </c>
      <c r="AY134" s="72">
        <f t="shared" si="137"/>
        <v>0</v>
      </c>
      <c r="AZ134" s="72">
        <f t="shared" si="138"/>
        <v>0</v>
      </c>
      <c r="BA134" s="72">
        <f t="shared" si="139"/>
        <v>0</v>
      </c>
      <c r="BB134" s="72">
        <f t="shared" si="140"/>
        <v>0</v>
      </c>
      <c r="BC134" s="72">
        <f t="shared" si="141"/>
        <v>0</v>
      </c>
      <c r="BD134" s="72">
        <f t="shared" si="142"/>
        <v>0</v>
      </c>
      <c r="BE134" s="72">
        <f t="shared" si="143"/>
        <v>0</v>
      </c>
      <c r="BF134" s="72">
        <f t="shared" si="144"/>
        <v>0</v>
      </c>
    </row>
    <row r="135" spans="1:58" x14ac:dyDescent="0.25">
      <c r="A135" s="34" t="s">
        <v>233</v>
      </c>
      <c r="B135" s="1" t="e">
        <f t="shared" si="123"/>
        <v>#N/A</v>
      </c>
      <c r="C135" s="1"/>
      <c r="D135" s="1"/>
      <c r="E135" t="s">
        <v>235</v>
      </c>
      <c r="F135" s="77" t="s">
        <v>532</v>
      </c>
      <c r="G135" s="1" t="s">
        <v>238</v>
      </c>
      <c r="H135" s="76"/>
      <c r="AC135" s="1">
        <f>SUM(I135:INDEX(I135:AB135,Level))+H135</f>
        <v>0</v>
      </c>
      <c r="AD135" s="45">
        <f t="shared" si="124"/>
        <v>-25</v>
      </c>
      <c r="AE135" s="45" cm="1">
        <f t="array" aca="1" ref="AE135" ca="1">IF(G135="NA",0,INDIRECT(LEFT(G135,2))+INDIRECT(MID(G135,4,2))+INDIRECT(RIGHT(G135,2)))</f>
        <v>0</v>
      </c>
      <c r="AF135" s="45">
        <f t="shared" si="121"/>
        <v>0</v>
      </c>
      <c r="AG135" s="45">
        <f t="shared" si="122"/>
        <v>0</v>
      </c>
      <c r="AH135" s="45"/>
      <c r="AI135" s="51">
        <f t="shared" ca="1" si="98"/>
        <v>-25</v>
      </c>
      <c r="AM135" s="72">
        <f t="shared" si="125"/>
        <v>0</v>
      </c>
      <c r="AN135" s="72">
        <f t="shared" si="126"/>
        <v>0</v>
      </c>
      <c r="AO135" s="72">
        <f t="shared" si="127"/>
        <v>0</v>
      </c>
      <c r="AP135" s="72">
        <f t="shared" si="128"/>
        <v>0</v>
      </c>
      <c r="AQ135" s="72">
        <f t="shared" si="129"/>
        <v>0</v>
      </c>
      <c r="AR135" s="72">
        <f t="shared" si="130"/>
        <v>0</v>
      </c>
      <c r="AS135" s="72">
        <f t="shared" si="131"/>
        <v>0</v>
      </c>
      <c r="AT135" s="72">
        <f t="shared" si="132"/>
        <v>0</v>
      </c>
      <c r="AU135" s="72">
        <f t="shared" si="133"/>
        <v>0</v>
      </c>
      <c r="AV135" s="72">
        <f t="shared" si="134"/>
        <v>0</v>
      </c>
      <c r="AW135" s="72">
        <f t="shared" si="135"/>
        <v>0</v>
      </c>
      <c r="AX135" s="72">
        <f t="shared" si="136"/>
        <v>0</v>
      </c>
      <c r="AY135" s="72">
        <f t="shared" si="137"/>
        <v>0</v>
      </c>
      <c r="AZ135" s="72">
        <f t="shared" si="138"/>
        <v>0</v>
      </c>
      <c r="BA135" s="72">
        <f t="shared" si="139"/>
        <v>0</v>
      </c>
      <c r="BB135" s="72">
        <f t="shared" si="140"/>
        <v>0</v>
      </c>
      <c r="BC135" s="72">
        <f t="shared" si="141"/>
        <v>0</v>
      </c>
      <c r="BD135" s="72">
        <f t="shared" si="142"/>
        <v>0</v>
      </c>
      <c r="BE135" s="72">
        <f t="shared" si="143"/>
        <v>0</v>
      </c>
      <c r="BF135" s="72">
        <f t="shared" si="144"/>
        <v>0</v>
      </c>
    </row>
    <row r="136" spans="1:58" x14ac:dyDescent="0.25">
      <c r="A136" s="34" t="s">
        <v>233</v>
      </c>
      <c r="B136" s="1" t="e">
        <f t="shared" si="123"/>
        <v>#N/A</v>
      </c>
      <c r="C136" s="1"/>
      <c r="D136" s="1"/>
      <c r="E136" t="s">
        <v>236</v>
      </c>
      <c r="F136" s="79"/>
      <c r="G136" s="1" t="s">
        <v>237</v>
      </c>
      <c r="H136" s="76"/>
      <c r="AC136" s="1">
        <f>SUM(I136:INDEX(I136:AB136,Level))+H136</f>
        <v>0</v>
      </c>
      <c r="AD136" s="45">
        <f t="shared" si="124"/>
        <v>-25</v>
      </c>
      <c r="AE136" s="45" cm="1">
        <f t="array" aca="1" ref="AE136" ca="1">IF(G136="NA",0,INDIRECT(LEFT(G136,2))+INDIRECT(MID(G136,4,2))+INDIRECT(RIGHT(G136,2)))</f>
        <v>0</v>
      </c>
      <c r="AF136" s="45">
        <f t="shared" si="121"/>
        <v>0</v>
      </c>
      <c r="AG136" s="45">
        <f t="shared" si="122"/>
        <v>0</v>
      </c>
      <c r="AH136" s="45"/>
      <c r="AI136" s="51">
        <f t="shared" ca="1" si="98"/>
        <v>-25</v>
      </c>
      <c r="AM136" s="72">
        <f t="shared" si="125"/>
        <v>0</v>
      </c>
      <c r="AN136" s="72">
        <f t="shared" si="126"/>
        <v>0</v>
      </c>
      <c r="AO136" s="72">
        <f t="shared" si="127"/>
        <v>0</v>
      </c>
      <c r="AP136" s="72">
        <f t="shared" si="128"/>
        <v>0</v>
      </c>
      <c r="AQ136" s="72">
        <f t="shared" si="129"/>
        <v>0</v>
      </c>
      <c r="AR136" s="72">
        <f t="shared" si="130"/>
        <v>0</v>
      </c>
      <c r="AS136" s="72">
        <f t="shared" si="131"/>
        <v>0</v>
      </c>
      <c r="AT136" s="72">
        <f t="shared" si="132"/>
        <v>0</v>
      </c>
      <c r="AU136" s="72">
        <f t="shared" si="133"/>
        <v>0</v>
      </c>
      <c r="AV136" s="72">
        <f t="shared" si="134"/>
        <v>0</v>
      </c>
      <c r="AW136" s="72">
        <f t="shared" si="135"/>
        <v>0</v>
      </c>
      <c r="AX136" s="72">
        <f t="shared" si="136"/>
        <v>0</v>
      </c>
      <c r="AY136" s="72">
        <f t="shared" si="137"/>
        <v>0</v>
      </c>
      <c r="AZ136" s="72">
        <f t="shared" si="138"/>
        <v>0</v>
      </c>
      <c r="BA136" s="72">
        <f t="shared" si="139"/>
        <v>0</v>
      </c>
      <c r="BB136" s="72">
        <f t="shared" si="140"/>
        <v>0</v>
      </c>
      <c r="BC136" s="72">
        <f t="shared" si="141"/>
        <v>0</v>
      </c>
      <c r="BD136" s="72">
        <f t="shared" si="142"/>
        <v>0</v>
      </c>
      <c r="BE136" s="72">
        <f t="shared" si="143"/>
        <v>0</v>
      </c>
      <c r="BF136" s="72">
        <f t="shared" si="144"/>
        <v>0</v>
      </c>
    </row>
    <row r="137" spans="1:58" x14ac:dyDescent="0.25">
      <c r="A137" s="34" t="s">
        <v>239</v>
      </c>
      <c r="B137" s="1" t="e">
        <f t="shared" si="123"/>
        <v>#N/A</v>
      </c>
      <c r="C137" s="1"/>
      <c r="D137" s="1"/>
      <c r="E137" t="s">
        <v>240</v>
      </c>
      <c r="F137" s="79"/>
      <c r="G137" s="1" t="s">
        <v>243</v>
      </c>
      <c r="H137" s="1">
        <f>Worksheet!P85</f>
        <v>0</v>
      </c>
      <c r="AC137" s="1">
        <f>SUM(I137:INDEX(I137:AB137,Level))+H137</f>
        <v>0</v>
      </c>
      <c r="AD137" s="45">
        <f t="shared" si="124"/>
        <v>-25</v>
      </c>
      <c r="AE137" s="45" cm="1">
        <f t="array" aca="1" ref="AE137" ca="1">IF(G137="NA",0,INDIRECT(LEFT(G137,2))+INDIRECT(MID(G137,4,2))+INDIRECT(RIGHT(G137,2)))</f>
        <v>0</v>
      </c>
      <c r="AF137" s="45">
        <f t="shared" si="121"/>
        <v>0</v>
      </c>
      <c r="AG137" s="45">
        <f t="shared" si="122"/>
        <v>0</v>
      </c>
      <c r="AH137" s="45"/>
      <c r="AI137" s="51">
        <f t="shared" ca="1" si="98"/>
        <v>-25</v>
      </c>
      <c r="AM137" s="72">
        <f t="shared" si="125"/>
        <v>0</v>
      </c>
      <c r="AN137" s="72">
        <f t="shared" si="126"/>
        <v>0</v>
      </c>
      <c r="AO137" s="72">
        <f t="shared" si="127"/>
        <v>0</v>
      </c>
      <c r="AP137" s="72">
        <f t="shared" si="128"/>
        <v>0</v>
      </c>
      <c r="AQ137" s="72">
        <f t="shared" si="129"/>
        <v>0</v>
      </c>
      <c r="AR137" s="72">
        <f t="shared" si="130"/>
        <v>0</v>
      </c>
      <c r="AS137" s="72">
        <f t="shared" si="131"/>
        <v>0</v>
      </c>
      <c r="AT137" s="72">
        <f t="shared" si="132"/>
        <v>0</v>
      </c>
      <c r="AU137" s="72">
        <f t="shared" si="133"/>
        <v>0</v>
      </c>
      <c r="AV137" s="72">
        <f t="shared" si="134"/>
        <v>0</v>
      </c>
      <c r="AW137" s="72">
        <f t="shared" si="135"/>
        <v>0</v>
      </c>
      <c r="AX137" s="72">
        <f t="shared" si="136"/>
        <v>0</v>
      </c>
      <c r="AY137" s="72">
        <f t="shared" si="137"/>
        <v>0</v>
      </c>
      <c r="AZ137" s="72">
        <f t="shared" si="138"/>
        <v>0</v>
      </c>
      <c r="BA137" s="72">
        <f t="shared" si="139"/>
        <v>0</v>
      </c>
      <c r="BB137" s="72">
        <f t="shared" si="140"/>
        <v>0</v>
      </c>
      <c r="BC137" s="72">
        <f t="shared" si="141"/>
        <v>0</v>
      </c>
      <c r="BD137" s="72">
        <f t="shared" si="142"/>
        <v>0</v>
      </c>
      <c r="BE137" s="72">
        <f t="shared" si="143"/>
        <v>0</v>
      </c>
      <c r="BF137" s="72">
        <f t="shared" si="144"/>
        <v>0</v>
      </c>
    </row>
    <row r="138" spans="1:58" x14ac:dyDescent="0.25">
      <c r="A138" s="34" t="s">
        <v>239</v>
      </c>
      <c r="B138" s="1" t="e">
        <f t="shared" si="123"/>
        <v>#N/A</v>
      </c>
      <c r="C138" s="1"/>
      <c r="D138" s="1"/>
      <c r="E138" t="s">
        <v>241</v>
      </c>
      <c r="F138" s="79"/>
      <c r="G138" s="1" t="s">
        <v>244</v>
      </c>
      <c r="H138" s="1">
        <f>Worksheet!P86</f>
        <v>0</v>
      </c>
      <c r="AC138" s="1">
        <f>SUM(I138:INDEX(I138:AB138,Level))+H138</f>
        <v>0</v>
      </c>
      <c r="AD138" s="45">
        <f t="shared" si="124"/>
        <v>-25</v>
      </c>
      <c r="AE138" s="45" cm="1">
        <f t="array" aca="1" ref="AE138" ca="1">IF(G138="NA",0,INDIRECT(LEFT(G138,2))+INDIRECT(MID(G138,4,2))+INDIRECT(RIGHT(G138,2)))</f>
        <v>0</v>
      </c>
      <c r="AF138" s="45">
        <f t="shared" si="121"/>
        <v>0</v>
      </c>
      <c r="AG138" s="45">
        <f t="shared" si="122"/>
        <v>0</v>
      </c>
      <c r="AH138" s="45"/>
      <c r="AI138" s="51">
        <f t="shared" ca="1" si="98"/>
        <v>-25</v>
      </c>
      <c r="AM138" s="72">
        <f t="shared" si="125"/>
        <v>0</v>
      </c>
      <c r="AN138" s="72">
        <f t="shared" si="126"/>
        <v>0</v>
      </c>
      <c r="AO138" s="72">
        <f t="shared" si="127"/>
        <v>0</v>
      </c>
      <c r="AP138" s="72">
        <f t="shared" si="128"/>
        <v>0</v>
      </c>
      <c r="AQ138" s="72">
        <f t="shared" si="129"/>
        <v>0</v>
      </c>
      <c r="AR138" s="72">
        <f t="shared" si="130"/>
        <v>0</v>
      </c>
      <c r="AS138" s="72">
        <f t="shared" si="131"/>
        <v>0</v>
      </c>
      <c r="AT138" s="72">
        <f t="shared" si="132"/>
        <v>0</v>
      </c>
      <c r="AU138" s="72">
        <f t="shared" si="133"/>
        <v>0</v>
      </c>
      <c r="AV138" s="72">
        <f t="shared" si="134"/>
        <v>0</v>
      </c>
      <c r="AW138" s="72">
        <f t="shared" si="135"/>
        <v>0</v>
      </c>
      <c r="AX138" s="72">
        <f t="shared" si="136"/>
        <v>0</v>
      </c>
      <c r="AY138" s="72">
        <f t="shared" si="137"/>
        <v>0</v>
      </c>
      <c r="AZ138" s="72">
        <f t="shared" si="138"/>
        <v>0</v>
      </c>
      <c r="BA138" s="72">
        <f t="shared" si="139"/>
        <v>0</v>
      </c>
      <c r="BB138" s="72">
        <f t="shared" si="140"/>
        <v>0</v>
      </c>
      <c r="BC138" s="72">
        <f t="shared" si="141"/>
        <v>0</v>
      </c>
      <c r="BD138" s="72">
        <f t="shared" si="142"/>
        <v>0</v>
      </c>
      <c r="BE138" s="72">
        <f t="shared" si="143"/>
        <v>0</v>
      </c>
      <c r="BF138" s="72">
        <f t="shared" si="144"/>
        <v>0</v>
      </c>
    </row>
    <row r="139" spans="1:58" ht="15.75" thickBot="1" x14ac:dyDescent="0.3">
      <c r="A139" s="38" t="s">
        <v>239</v>
      </c>
      <c r="B139" s="43" t="e">
        <f t="shared" si="123"/>
        <v>#N/A</v>
      </c>
      <c r="C139" s="43"/>
      <c r="D139" s="43"/>
      <c r="E139" s="75" t="s">
        <v>242</v>
      </c>
      <c r="F139" s="80"/>
      <c r="G139" s="43" t="s">
        <v>243</v>
      </c>
      <c r="H139" s="43">
        <f>Worksheet!P87</f>
        <v>0</v>
      </c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>
        <f>SUM(I139:INDEX(I139:AB139,Level))+H139</f>
        <v>0</v>
      </c>
      <c r="AD139" s="46">
        <f t="shared" si="124"/>
        <v>-25</v>
      </c>
      <c r="AE139" s="46" cm="1">
        <f t="array" aca="1" ref="AE139" ca="1">IF(G139="NA",0,INDIRECT(LEFT(G139,2))+INDIRECT(MID(G139,4,2))+INDIRECT(RIGHT(G139,2)))</f>
        <v>0</v>
      </c>
      <c r="AF139" s="46">
        <f t="shared" si="121"/>
        <v>0</v>
      </c>
      <c r="AG139" s="46">
        <f t="shared" si="122"/>
        <v>0</v>
      </c>
      <c r="AH139" s="46"/>
      <c r="AI139" s="53">
        <f t="shared" ref="AI139" ca="1" si="195">SUM(AD139:AH139)</f>
        <v>-25</v>
      </c>
      <c r="AM139" s="72">
        <f t="shared" si="125"/>
        <v>0</v>
      </c>
      <c r="AN139" s="72">
        <f t="shared" si="126"/>
        <v>0</v>
      </c>
      <c r="AO139" s="72">
        <f t="shared" si="127"/>
        <v>0</v>
      </c>
      <c r="AP139" s="72">
        <f t="shared" si="128"/>
        <v>0</v>
      </c>
      <c r="AQ139" s="72">
        <f t="shared" si="129"/>
        <v>0</v>
      </c>
      <c r="AR139" s="72">
        <f t="shared" si="130"/>
        <v>0</v>
      </c>
      <c r="AS139" s="72">
        <f t="shared" si="131"/>
        <v>0</v>
      </c>
      <c r="AT139" s="72">
        <f t="shared" si="132"/>
        <v>0</v>
      </c>
      <c r="AU139" s="72">
        <f t="shared" si="133"/>
        <v>0</v>
      </c>
      <c r="AV139" s="72">
        <f t="shared" si="134"/>
        <v>0</v>
      </c>
      <c r="AW139" s="72">
        <f t="shared" si="135"/>
        <v>0</v>
      </c>
      <c r="AX139" s="72">
        <f t="shared" si="136"/>
        <v>0</v>
      </c>
      <c r="AY139" s="72">
        <f t="shared" si="137"/>
        <v>0</v>
      </c>
      <c r="AZ139" s="72">
        <f t="shared" si="138"/>
        <v>0</v>
      </c>
      <c r="BA139" s="72">
        <f t="shared" si="139"/>
        <v>0</v>
      </c>
      <c r="BB139" s="72">
        <f t="shared" si="140"/>
        <v>0</v>
      </c>
      <c r="BC139" s="72">
        <f t="shared" si="141"/>
        <v>0</v>
      </c>
      <c r="BD139" s="72">
        <f t="shared" si="142"/>
        <v>0</v>
      </c>
      <c r="BE139" s="72">
        <f t="shared" si="143"/>
        <v>0</v>
      </c>
      <c r="BF139" s="72">
        <f t="shared" si="144"/>
        <v>0</v>
      </c>
    </row>
    <row r="140" spans="1:58" ht="15.75" thickBot="1" x14ac:dyDescent="0.3">
      <c r="A140" s="312"/>
      <c r="B140" s="313"/>
      <c r="C140" s="313"/>
      <c r="D140" s="313"/>
      <c r="E140" s="313"/>
      <c r="F140" s="313"/>
      <c r="G140" s="313"/>
      <c r="H140" s="313"/>
      <c r="I140" s="313"/>
      <c r="J140" s="313"/>
      <c r="K140" s="313"/>
      <c r="L140" s="313"/>
      <c r="M140" s="313"/>
      <c r="N140" s="313"/>
      <c r="O140" s="313"/>
      <c r="P140" s="313"/>
      <c r="Q140" s="313"/>
      <c r="R140" s="313"/>
      <c r="S140" s="313"/>
      <c r="T140" s="313"/>
      <c r="U140" s="313"/>
      <c r="V140" s="313"/>
      <c r="W140" s="313"/>
      <c r="X140" s="313"/>
      <c r="Y140" s="313"/>
      <c r="Z140" s="313"/>
      <c r="AA140" s="313"/>
      <c r="AB140" s="313"/>
      <c r="AC140" s="313"/>
      <c r="AD140" s="313"/>
      <c r="AE140" s="313"/>
      <c r="AF140" s="313"/>
      <c r="AG140" s="313"/>
      <c r="AH140" s="313"/>
      <c r="AI140" s="313"/>
      <c r="AM140" s="94"/>
      <c r="AN140" s="94"/>
      <c r="AO140" s="94"/>
      <c r="AP140" s="94"/>
      <c r="AQ140" s="94"/>
      <c r="AR140" s="94"/>
      <c r="AS140" s="94"/>
      <c r="AT140" s="94"/>
      <c r="AU140" s="94"/>
      <c r="AV140" s="94"/>
      <c r="AW140" s="94"/>
      <c r="AX140" s="94"/>
      <c r="AY140" s="94"/>
      <c r="AZ140" s="94"/>
      <c r="BA140" s="94"/>
      <c r="BB140" s="94"/>
      <c r="BC140" s="94"/>
      <c r="BD140" s="94"/>
      <c r="BE140" s="94"/>
      <c r="BF140" s="94"/>
    </row>
    <row r="141" spans="1:58" ht="62.25" x14ac:dyDescent="0.95">
      <c r="A141" s="335" t="s">
        <v>420</v>
      </c>
      <c r="B141" s="336"/>
      <c r="C141" s="336"/>
      <c r="D141" s="336"/>
      <c r="E141" s="336"/>
      <c r="F141" s="336"/>
      <c r="G141" s="336"/>
      <c r="H141" s="336"/>
      <c r="I141" s="336"/>
      <c r="J141" s="336"/>
      <c r="K141" s="336"/>
      <c r="L141" s="336"/>
      <c r="M141" s="336"/>
      <c r="N141" s="336"/>
      <c r="O141" s="336"/>
      <c r="P141" s="336"/>
      <c r="Q141" s="336"/>
      <c r="R141" s="336"/>
      <c r="S141" s="336"/>
      <c r="T141" s="336"/>
      <c r="U141" s="336"/>
      <c r="V141" s="336"/>
      <c r="W141" s="336"/>
      <c r="X141" s="336"/>
      <c r="Y141" s="336"/>
      <c r="Z141" s="336"/>
      <c r="AA141" s="336"/>
      <c r="AB141" s="336"/>
      <c r="AC141" s="336"/>
      <c r="AD141" s="336"/>
      <c r="AE141" s="336"/>
      <c r="AF141" s="336"/>
      <c r="AG141" s="336"/>
      <c r="AH141" s="336"/>
      <c r="AI141" s="337"/>
    </row>
    <row r="142" spans="1:58" ht="30.75" thickBot="1" x14ac:dyDescent="0.3">
      <c r="A142" s="81" t="s">
        <v>85</v>
      </c>
      <c r="B142" s="82" t="s">
        <v>92</v>
      </c>
      <c r="C142" s="85" t="s">
        <v>419</v>
      </c>
      <c r="D142" s="88" t="s">
        <v>90</v>
      </c>
      <c r="E142" s="83" t="s">
        <v>86</v>
      </c>
      <c r="F142" s="84" t="s">
        <v>87</v>
      </c>
      <c r="G142" s="82" t="s">
        <v>88</v>
      </c>
      <c r="H142" s="82" t="s">
        <v>8</v>
      </c>
      <c r="I142" s="82">
        <v>1</v>
      </c>
      <c r="J142" s="82">
        <v>2</v>
      </c>
      <c r="K142" s="82">
        <v>3</v>
      </c>
      <c r="L142" s="82">
        <v>4</v>
      </c>
      <c r="M142" s="82">
        <v>5</v>
      </c>
      <c r="N142" s="82">
        <v>6</v>
      </c>
      <c r="O142" s="82">
        <v>7</v>
      </c>
      <c r="P142" s="82">
        <v>8</v>
      </c>
      <c r="Q142" s="82">
        <v>9</v>
      </c>
      <c r="R142" s="82">
        <v>10</v>
      </c>
      <c r="S142" s="82">
        <v>11</v>
      </c>
      <c r="T142" s="82">
        <v>12</v>
      </c>
      <c r="U142" s="82">
        <v>13</v>
      </c>
      <c r="V142" s="82">
        <v>14</v>
      </c>
      <c r="W142" s="82">
        <v>15</v>
      </c>
      <c r="X142" s="82">
        <v>16</v>
      </c>
      <c r="Y142" s="82">
        <v>17</v>
      </c>
      <c r="Z142" s="82">
        <v>18</v>
      </c>
      <c r="AA142" s="82">
        <v>19</v>
      </c>
      <c r="AB142" s="82">
        <v>20</v>
      </c>
      <c r="AC142" s="85" t="s">
        <v>247</v>
      </c>
      <c r="AD142" s="86" t="s">
        <v>97</v>
      </c>
      <c r="AE142" s="86" t="s">
        <v>99</v>
      </c>
      <c r="AF142" s="86" t="s">
        <v>98</v>
      </c>
      <c r="AG142" s="86" t="s">
        <v>90</v>
      </c>
      <c r="AH142" s="82" t="s">
        <v>31</v>
      </c>
      <c r="AI142" s="87" t="s">
        <v>91</v>
      </c>
    </row>
    <row r="143" spans="1:58" ht="15.75" thickTop="1" x14ac:dyDescent="0.25">
      <c r="A143" s="34" t="s">
        <v>420</v>
      </c>
      <c r="B143" s="1" t="e">
        <f t="shared" ref="B143:B176" si="196">VLOOKUP(E143,Table_Profession_Skills,VLOOKUP(Profession,Table_Profession,2,FALSE)+1,FALSE)</f>
        <v>#N/A</v>
      </c>
      <c r="C143" s="1"/>
      <c r="D143" s="1"/>
      <c r="E143" t="s">
        <v>279</v>
      </c>
      <c r="G143" s="1" t="s">
        <v>208</v>
      </c>
      <c r="H143" s="95"/>
      <c r="AC143" s="1">
        <f>SUM(I143:INDEX(I143:AB143,Level))+H143</f>
        <v>0</v>
      </c>
      <c r="AD143" s="45">
        <f t="shared" ref="AD143:AD176" si="197">IF(AC143&gt;30,100+AC143,VLOOKUP(AC143,Rank_Bonus,2,FALSE))+IF(E143="Base Spells",5,IF(E143="Open Spells",0,IF(E143="Closed Spells",-5,-10)))</f>
        <v>-20</v>
      </c>
      <c r="AE143" s="45" cm="1">
        <f t="array" aca="1" ref="AE143" ca="1">IF(G143="NA",0,INDIRECT(LEFT(G143,2))+INDIRECT(MID(G143,4,2))+INDIRECT(RIGHT(G143,2)))</f>
        <v>0</v>
      </c>
      <c r="AF143" s="45">
        <f t="shared" ref="AF143" si="198">IF(C143="X",MIN(30,AC143),0)</f>
        <v>0</v>
      </c>
      <c r="AG143" s="45">
        <f t="shared" ref="AG143" si="199">IF(D143="X",5,0)</f>
        <v>0</v>
      </c>
      <c r="AH143" s="45"/>
      <c r="AI143" s="51">
        <f ca="1">SUM(AD143:AH143)</f>
        <v>-20</v>
      </c>
      <c r="AM143" s="72">
        <f t="shared" ref="AM143:BF143" si="200">_xlfn.NUMBERVALUE(IF(I143=0,0,IF(I143=1,LEFT($B143,FIND("/",$B143)-1),SUM(LEFT($B143,FIND("/",$B143)-1),RIGHT($B143,LEN($B143)-FIND("/",$B143))))))</f>
        <v>0</v>
      </c>
      <c r="AN143" s="72">
        <f t="shared" si="200"/>
        <v>0</v>
      </c>
      <c r="AO143" s="72">
        <f t="shared" si="200"/>
        <v>0</v>
      </c>
      <c r="AP143" s="72">
        <f t="shared" si="200"/>
        <v>0</v>
      </c>
      <c r="AQ143" s="72">
        <f t="shared" si="200"/>
        <v>0</v>
      </c>
      <c r="AR143" s="72">
        <f t="shared" si="200"/>
        <v>0</v>
      </c>
      <c r="AS143" s="72">
        <f t="shared" si="200"/>
        <v>0</v>
      </c>
      <c r="AT143" s="72">
        <f t="shared" si="200"/>
        <v>0</v>
      </c>
      <c r="AU143" s="72">
        <f t="shared" si="200"/>
        <v>0</v>
      </c>
      <c r="AV143" s="72">
        <f t="shared" si="200"/>
        <v>0</v>
      </c>
      <c r="AW143" s="72">
        <f t="shared" si="200"/>
        <v>0</v>
      </c>
      <c r="AX143" s="72">
        <f t="shared" si="200"/>
        <v>0</v>
      </c>
      <c r="AY143" s="72">
        <f t="shared" si="200"/>
        <v>0</v>
      </c>
      <c r="AZ143" s="72">
        <f t="shared" si="200"/>
        <v>0</v>
      </c>
      <c r="BA143" s="72">
        <f t="shared" si="200"/>
        <v>0</v>
      </c>
      <c r="BB143" s="72">
        <f t="shared" si="200"/>
        <v>0</v>
      </c>
      <c r="BC143" s="72">
        <f t="shared" si="200"/>
        <v>0</v>
      </c>
      <c r="BD143" s="72">
        <f t="shared" si="200"/>
        <v>0</v>
      </c>
      <c r="BE143" s="72">
        <f t="shared" si="200"/>
        <v>0</v>
      </c>
      <c r="BF143" s="72">
        <f t="shared" si="200"/>
        <v>0</v>
      </c>
    </row>
    <row r="144" spans="1:58" x14ac:dyDescent="0.25">
      <c r="A144" s="34" t="s">
        <v>420</v>
      </c>
      <c r="B144" s="1" t="e">
        <f t="shared" si="196"/>
        <v>#N/A</v>
      </c>
      <c r="C144" s="1"/>
      <c r="D144" s="1"/>
      <c r="E144" t="s">
        <v>279</v>
      </c>
      <c r="G144" s="1" t="s">
        <v>208</v>
      </c>
      <c r="H144" s="95"/>
      <c r="AC144" s="1">
        <f>SUM(I144:INDEX(I144:AB144,Level))+H144</f>
        <v>0</v>
      </c>
      <c r="AD144" s="45">
        <f t="shared" si="197"/>
        <v>-20</v>
      </c>
      <c r="AE144" s="45" cm="1">
        <f t="array" aca="1" ref="AE144" ca="1">IF(G144="NA",0,INDIRECT(LEFT(G144,2))+INDIRECT(MID(G144,4,2))+INDIRECT(RIGHT(G144,2)))</f>
        <v>0</v>
      </c>
      <c r="AF144" s="45">
        <f t="shared" ref="AF144:AF176" si="201">IF(C144="X",MIN(30,AC144),0)</f>
        <v>0</v>
      </c>
      <c r="AG144" s="45">
        <f t="shared" ref="AG144:AG176" si="202">IF(D144="X",5,0)</f>
        <v>0</v>
      </c>
      <c r="AH144" s="45"/>
      <c r="AI144" s="51">
        <f t="shared" ref="AI144:AI176" ca="1" si="203">SUM(AD144:AH144)</f>
        <v>-20</v>
      </c>
      <c r="AM144" s="72">
        <f t="shared" ref="AM144:AM176" si="204">_xlfn.NUMBERVALUE(IF(I144=0,0,IF(I144=1,LEFT($B144,FIND("/",$B144)-1),SUM(LEFT($B144,FIND("/",$B144)-1),RIGHT($B144,LEN($B144)-FIND("/",$B144))))))</f>
        <v>0</v>
      </c>
      <c r="AN144" s="72">
        <f t="shared" ref="AN144:AN176" si="205">_xlfn.NUMBERVALUE(IF(J144=0,0,IF(J144=1,LEFT($B144,FIND("/",$B144)-1),SUM(LEFT($B144,FIND("/",$B144)-1),RIGHT($B144,LEN($B144)-FIND("/",$B144))))))</f>
        <v>0</v>
      </c>
      <c r="AO144" s="72">
        <f t="shared" ref="AO144:AO176" si="206">_xlfn.NUMBERVALUE(IF(K144=0,0,IF(K144=1,LEFT($B144,FIND("/",$B144)-1),SUM(LEFT($B144,FIND("/",$B144)-1),RIGHT($B144,LEN($B144)-FIND("/",$B144))))))</f>
        <v>0</v>
      </c>
      <c r="AP144" s="72">
        <f t="shared" ref="AP144:AP176" si="207">_xlfn.NUMBERVALUE(IF(L144=0,0,IF(L144=1,LEFT($B144,FIND("/",$B144)-1),SUM(LEFT($B144,FIND("/",$B144)-1),RIGHT($B144,LEN($B144)-FIND("/",$B144))))))</f>
        <v>0</v>
      </c>
      <c r="AQ144" s="72">
        <f t="shared" ref="AQ144:AQ176" si="208">_xlfn.NUMBERVALUE(IF(M144=0,0,IF(M144=1,LEFT($B144,FIND("/",$B144)-1),SUM(LEFT($B144,FIND("/",$B144)-1),RIGHT($B144,LEN($B144)-FIND("/",$B144))))))</f>
        <v>0</v>
      </c>
      <c r="AR144" s="72">
        <f t="shared" ref="AR144:AR176" si="209">_xlfn.NUMBERVALUE(IF(N144=0,0,IF(N144=1,LEFT($B144,FIND("/",$B144)-1),SUM(LEFT($B144,FIND("/",$B144)-1),RIGHT($B144,LEN($B144)-FIND("/",$B144))))))</f>
        <v>0</v>
      </c>
      <c r="AS144" s="72">
        <f t="shared" ref="AS144:AS176" si="210">_xlfn.NUMBERVALUE(IF(O144=0,0,IF(O144=1,LEFT($B144,FIND("/",$B144)-1),SUM(LEFT($B144,FIND("/",$B144)-1),RIGHT($B144,LEN($B144)-FIND("/",$B144))))))</f>
        <v>0</v>
      </c>
      <c r="AT144" s="72">
        <f t="shared" ref="AT144:AT176" si="211">_xlfn.NUMBERVALUE(IF(P144=0,0,IF(P144=1,LEFT($B144,FIND("/",$B144)-1),SUM(LEFT($B144,FIND("/",$B144)-1),RIGHT($B144,LEN($B144)-FIND("/",$B144))))))</f>
        <v>0</v>
      </c>
      <c r="AU144" s="72">
        <f t="shared" ref="AU144:AU176" si="212">_xlfn.NUMBERVALUE(IF(Q144=0,0,IF(Q144=1,LEFT($B144,FIND("/",$B144)-1),SUM(LEFT($B144,FIND("/",$B144)-1),RIGHT($B144,LEN($B144)-FIND("/",$B144))))))</f>
        <v>0</v>
      </c>
      <c r="AV144" s="72">
        <f t="shared" ref="AV144:AV176" si="213">_xlfn.NUMBERVALUE(IF(R144=0,0,IF(R144=1,LEFT($B144,FIND("/",$B144)-1),SUM(LEFT($B144,FIND("/",$B144)-1),RIGHT($B144,LEN($B144)-FIND("/",$B144))))))</f>
        <v>0</v>
      </c>
      <c r="AW144" s="72">
        <f t="shared" ref="AW144:AW176" si="214">_xlfn.NUMBERVALUE(IF(S144=0,0,IF(S144=1,LEFT($B144,FIND("/",$B144)-1),SUM(LEFT($B144,FIND("/",$B144)-1),RIGHT($B144,LEN($B144)-FIND("/",$B144))))))</f>
        <v>0</v>
      </c>
      <c r="AX144" s="72">
        <f t="shared" ref="AX144:AX176" si="215">_xlfn.NUMBERVALUE(IF(T144=0,0,IF(T144=1,LEFT($B144,FIND("/",$B144)-1),SUM(LEFT($B144,FIND("/",$B144)-1),RIGHT($B144,LEN($B144)-FIND("/",$B144))))))</f>
        <v>0</v>
      </c>
      <c r="AY144" s="72">
        <f t="shared" ref="AY144:AY176" si="216">_xlfn.NUMBERVALUE(IF(U144=0,0,IF(U144=1,LEFT($B144,FIND("/",$B144)-1),SUM(LEFT($B144,FIND("/",$B144)-1),RIGHT($B144,LEN($B144)-FIND("/",$B144))))))</f>
        <v>0</v>
      </c>
      <c r="AZ144" s="72">
        <f t="shared" ref="AZ144:AZ176" si="217">_xlfn.NUMBERVALUE(IF(V144=0,0,IF(V144=1,LEFT($B144,FIND("/",$B144)-1),SUM(LEFT($B144,FIND("/",$B144)-1),RIGHT($B144,LEN($B144)-FIND("/",$B144))))))</f>
        <v>0</v>
      </c>
      <c r="BA144" s="72">
        <f t="shared" ref="BA144:BA176" si="218">_xlfn.NUMBERVALUE(IF(W144=0,0,IF(W144=1,LEFT($B144,FIND("/",$B144)-1),SUM(LEFT($B144,FIND("/",$B144)-1),RIGHT($B144,LEN($B144)-FIND("/",$B144))))))</f>
        <v>0</v>
      </c>
      <c r="BB144" s="72">
        <f t="shared" ref="BB144:BB176" si="219">_xlfn.NUMBERVALUE(IF(X144=0,0,IF(X144=1,LEFT($B144,FIND("/",$B144)-1),SUM(LEFT($B144,FIND("/",$B144)-1),RIGHT($B144,LEN($B144)-FIND("/",$B144))))))</f>
        <v>0</v>
      </c>
      <c r="BC144" s="72">
        <f t="shared" ref="BC144:BC176" si="220">_xlfn.NUMBERVALUE(IF(Y144=0,0,IF(Y144=1,LEFT($B144,FIND("/",$B144)-1),SUM(LEFT($B144,FIND("/",$B144)-1),RIGHT($B144,LEN($B144)-FIND("/",$B144))))))</f>
        <v>0</v>
      </c>
      <c r="BD144" s="72">
        <f t="shared" ref="BD144:BD176" si="221">_xlfn.NUMBERVALUE(IF(Z144=0,0,IF(Z144=1,LEFT($B144,FIND("/",$B144)-1),SUM(LEFT($B144,FIND("/",$B144)-1),RIGHT($B144,LEN($B144)-FIND("/",$B144))))))</f>
        <v>0</v>
      </c>
      <c r="BE144" s="72">
        <f t="shared" ref="BE144:BE176" si="222">_xlfn.NUMBERVALUE(IF(AA144=0,0,IF(AA144=1,LEFT($B144,FIND("/",$B144)-1),SUM(LEFT($B144,FIND("/",$B144)-1),RIGHT($B144,LEN($B144)-FIND("/",$B144))))))</f>
        <v>0</v>
      </c>
      <c r="BF144" s="72">
        <f t="shared" ref="BF144:BF176" si="223">_xlfn.NUMBERVALUE(IF(AB144=0,0,IF(AB144=1,LEFT($B144,FIND("/",$B144)-1),SUM(LEFT($B144,FIND("/",$B144)-1),RIGHT($B144,LEN($B144)-FIND("/",$B144))))))</f>
        <v>0</v>
      </c>
    </row>
    <row r="145" spans="1:58" x14ac:dyDescent="0.25">
      <c r="A145" s="34" t="s">
        <v>420</v>
      </c>
      <c r="B145" s="1" t="e">
        <f t="shared" si="196"/>
        <v>#N/A</v>
      </c>
      <c r="C145" s="1"/>
      <c r="D145" s="1"/>
      <c r="E145" t="s">
        <v>279</v>
      </c>
      <c r="G145" s="1" t="s">
        <v>208</v>
      </c>
      <c r="H145" s="95"/>
      <c r="AC145" s="1">
        <f>SUM(I145:INDEX(I145:AB145,Level))+H145</f>
        <v>0</v>
      </c>
      <c r="AD145" s="45">
        <f t="shared" si="197"/>
        <v>-20</v>
      </c>
      <c r="AE145" s="45" cm="1">
        <f t="array" aca="1" ref="AE145" ca="1">IF(G145="NA",0,INDIRECT(LEFT(G145,2))+INDIRECT(MID(G145,4,2))+INDIRECT(RIGHT(G145,2)))</f>
        <v>0</v>
      </c>
      <c r="AF145" s="45">
        <f t="shared" si="201"/>
        <v>0</v>
      </c>
      <c r="AG145" s="45">
        <f t="shared" si="202"/>
        <v>0</v>
      </c>
      <c r="AH145" s="45"/>
      <c r="AI145" s="51">
        <f t="shared" ca="1" si="203"/>
        <v>-20</v>
      </c>
      <c r="AM145" s="72">
        <f t="shared" si="204"/>
        <v>0</v>
      </c>
      <c r="AN145" s="72">
        <f t="shared" si="205"/>
        <v>0</v>
      </c>
      <c r="AO145" s="72">
        <f t="shared" si="206"/>
        <v>0</v>
      </c>
      <c r="AP145" s="72">
        <f t="shared" si="207"/>
        <v>0</v>
      </c>
      <c r="AQ145" s="72">
        <f t="shared" si="208"/>
        <v>0</v>
      </c>
      <c r="AR145" s="72">
        <f t="shared" si="209"/>
        <v>0</v>
      </c>
      <c r="AS145" s="72">
        <f t="shared" si="210"/>
        <v>0</v>
      </c>
      <c r="AT145" s="72">
        <f t="shared" si="211"/>
        <v>0</v>
      </c>
      <c r="AU145" s="72">
        <f t="shared" si="212"/>
        <v>0</v>
      </c>
      <c r="AV145" s="72">
        <f t="shared" si="213"/>
        <v>0</v>
      </c>
      <c r="AW145" s="72">
        <f t="shared" si="214"/>
        <v>0</v>
      </c>
      <c r="AX145" s="72">
        <f t="shared" si="215"/>
        <v>0</v>
      </c>
      <c r="AY145" s="72">
        <f t="shared" si="216"/>
        <v>0</v>
      </c>
      <c r="AZ145" s="72">
        <f t="shared" si="217"/>
        <v>0</v>
      </c>
      <c r="BA145" s="72">
        <f t="shared" si="218"/>
        <v>0</v>
      </c>
      <c r="BB145" s="72">
        <f t="shared" si="219"/>
        <v>0</v>
      </c>
      <c r="BC145" s="72">
        <f t="shared" si="220"/>
        <v>0</v>
      </c>
      <c r="BD145" s="72">
        <f t="shared" si="221"/>
        <v>0</v>
      </c>
      <c r="BE145" s="72">
        <f t="shared" si="222"/>
        <v>0</v>
      </c>
      <c r="BF145" s="72">
        <f t="shared" si="223"/>
        <v>0</v>
      </c>
    </row>
    <row r="146" spans="1:58" x14ac:dyDescent="0.25">
      <c r="A146" s="34" t="s">
        <v>420</v>
      </c>
      <c r="B146" s="1" t="e">
        <f t="shared" si="196"/>
        <v>#N/A</v>
      </c>
      <c r="C146" s="1"/>
      <c r="D146" s="1"/>
      <c r="E146" t="s">
        <v>279</v>
      </c>
      <c r="G146" s="1" t="s">
        <v>208</v>
      </c>
      <c r="H146" s="95"/>
      <c r="AC146" s="1">
        <f>SUM(I146:INDEX(I146:AB146,Level))+H146</f>
        <v>0</v>
      </c>
      <c r="AD146" s="45">
        <f t="shared" si="197"/>
        <v>-20</v>
      </c>
      <c r="AE146" s="45" cm="1">
        <f t="array" aca="1" ref="AE146" ca="1">IF(G146="NA",0,INDIRECT(LEFT(G146,2))+INDIRECT(MID(G146,4,2))+INDIRECT(RIGHT(G146,2)))</f>
        <v>0</v>
      </c>
      <c r="AF146" s="45">
        <f t="shared" si="201"/>
        <v>0</v>
      </c>
      <c r="AG146" s="45">
        <f t="shared" si="202"/>
        <v>0</v>
      </c>
      <c r="AH146" s="45"/>
      <c r="AI146" s="51">
        <f t="shared" ca="1" si="203"/>
        <v>-20</v>
      </c>
      <c r="AM146" s="72">
        <f t="shared" si="204"/>
        <v>0</v>
      </c>
      <c r="AN146" s="72">
        <f t="shared" si="205"/>
        <v>0</v>
      </c>
      <c r="AO146" s="72">
        <f t="shared" si="206"/>
        <v>0</v>
      </c>
      <c r="AP146" s="72">
        <f t="shared" si="207"/>
        <v>0</v>
      </c>
      <c r="AQ146" s="72">
        <f t="shared" si="208"/>
        <v>0</v>
      </c>
      <c r="AR146" s="72">
        <f t="shared" si="209"/>
        <v>0</v>
      </c>
      <c r="AS146" s="72">
        <f t="shared" si="210"/>
        <v>0</v>
      </c>
      <c r="AT146" s="72">
        <f t="shared" si="211"/>
        <v>0</v>
      </c>
      <c r="AU146" s="72">
        <f t="shared" si="212"/>
        <v>0</v>
      </c>
      <c r="AV146" s="72">
        <f t="shared" si="213"/>
        <v>0</v>
      </c>
      <c r="AW146" s="72">
        <f t="shared" si="214"/>
        <v>0</v>
      </c>
      <c r="AX146" s="72">
        <f t="shared" si="215"/>
        <v>0</v>
      </c>
      <c r="AY146" s="72">
        <f t="shared" si="216"/>
        <v>0</v>
      </c>
      <c r="AZ146" s="72">
        <f t="shared" si="217"/>
        <v>0</v>
      </c>
      <c r="BA146" s="72">
        <f t="shared" si="218"/>
        <v>0</v>
      </c>
      <c r="BB146" s="72">
        <f t="shared" si="219"/>
        <v>0</v>
      </c>
      <c r="BC146" s="72">
        <f t="shared" si="220"/>
        <v>0</v>
      </c>
      <c r="BD146" s="72">
        <f t="shared" si="221"/>
        <v>0</v>
      </c>
      <c r="BE146" s="72">
        <f t="shared" si="222"/>
        <v>0</v>
      </c>
      <c r="BF146" s="72">
        <f t="shared" si="223"/>
        <v>0</v>
      </c>
    </row>
    <row r="147" spans="1:58" x14ac:dyDescent="0.25">
      <c r="A147" s="34" t="s">
        <v>420</v>
      </c>
      <c r="B147" s="1" t="e">
        <f t="shared" si="196"/>
        <v>#N/A</v>
      </c>
      <c r="C147" s="1"/>
      <c r="D147" s="1"/>
      <c r="E147" t="s">
        <v>279</v>
      </c>
      <c r="G147" s="1" t="s">
        <v>208</v>
      </c>
      <c r="H147" s="95"/>
      <c r="AC147" s="1">
        <f>SUM(I147:INDEX(I147:AB147,Level))+H147</f>
        <v>0</v>
      </c>
      <c r="AD147" s="45">
        <f t="shared" si="197"/>
        <v>-20</v>
      </c>
      <c r="AE147" s="45" cm="1">
        <f t="array" aca="1" ref="AE147" ca="1">IF(G147="NA",0,INDIRECT(LEFT(G147,2))+INDIRECT(MID(G147,4,2))+INDIRECT(RIGHT(G147,2)))</f>
        <v>0</v>
      </c>
      <c r="AF147" s="45">
        <f t="shared" si="201"/>
        <v>0</v>
      </c>
      <c r="AG147" s="45">
        <f t="shared" si="202"/>
        <v>0</v>
      </c>
      <c r="AH147" s="45"/>
      <c r="AI147" s="51">
        <f t="shared" ca="1" si="203"/>
        <v>-20</v>
      </c>
      <c r="AM147" s="72">
        <f t="shared" si="204"/>
        <v>0</v>
      </c>
      <c r="AN147" s="72">
        <f t="shared" si="205"/>
        <v>0</v>
      </c>
      <c r="AO147" s="72">
        <f t="shared" si="206"/>
        <v>0</v>
      </c>
      <c r="AP147" s="72">
        <f t="shared" si="207"/>
        <v>0</v>
      </c>
      <c r="AQ147" s="72">
        <f t="shared" si="208"/>
        <v>0</v>
      </c>
      <c r="AR147" s="72">
        <f t="shared" si="209"/>
        <v>0</v>
      </c>
      <c r="AS147" s="72">
        <f t="shared" si="210"/>
        <v>0</v>
      </c>
      <c r="AT147" s="72">
        <f t="shared" si="211"/>
        <v>0</v>
      </c>
      <c r="AU147" s="72">
        <f t="shared" si="212"/>
        <v>0</v>
      </c>
      <c r="AV147" s="72">
        <f t="shared" si="213"/>
        <v>0</v>
      </c>
      <c r="AW147" s="72">
        <f t="shared" si="214"/>
        <v>0</v>
      </c>
      <c r="AX147" s="72">
        <f t="shared" si="215"/>
        <v>0</v>
      </c>
      <c r="AY147" s="72">
        <f t="shared" si="216"/>
        <v>0</v>
      </c>
      <c r="AZ147" s="72">
        <f t="shared" si="217"/>
        <v>0</v>
      </c>
      <c r="BA147" s="72">
        <f t="shared" si="218"/>
        <v>0</v>
      </c>
      <c r="BB147" s="72">
        <f t="shared" si="219"/>
        <v>0</v>
      </c>
      <c r="BC147" s="72">
        <f t="shared" si="220"/>
        <v>0</v>
      </c>
      <c r="BD147" s="72">
        <f t="shared" si="221"/>
        <v>0</v>
      </c>
      <c r="BE147" s="72">
        <f t="shared" si="222"/>
        <v>0</v>
      </c>
      <c r="BF147" s="72">
        <f t="shared" si="223"/>
        <v>0</v>
      </c>
    </row>
    <row r="148" spans="1:58" x14ac:dyDescent="0.25">
      <c r="A148" s="34" t="s">
        <v>420</v>
      </c>
      <c r="B148" s="1" t="e">
        <f t="shared" si="196"/>
        <v>#N/A</v>
      </c>
      <c r="C148" s="1"/>
      <c r="D148" s="1"/>
      <c r="E148" t="s">
        <v>279</v>
      </c>
      <c r="G148" s="1" t="s">
        <v>208</v>
      </c>
      <c r="H148" s="95"/>
      <c r="AC148" s="1">
        <f>SUM(I148:INDEX(I148:AB148,Level))+H148</f>
        <v>0</v>
      </c>
      <c r="AD148" s="45">
        <f t="shared" si="197"/>
        <v>-20</v>
      </c>
      <c r="AE148" s="45" cm="1">
        <f t="array" aca="1" ref="AE148" ca="1">IF(G148="NA",0,INDIRECT(LEFT(G148,2))+INDIRECT(MID(G148,4,2))+INDIRECT(RIGHT(G148,2)))</f>
        <v>0</v>
      </c>
      <c r="AF148" s="45">
        <f t="shared" si="201"/>
        <v>0</v>
      </c>
      <c r="AG148" s="45">
        <f t="shared" si="202"/>
        <v>0</v>
      </c>
      <c r="AH148" s="45"/>
      <c r="AI148" s="51">
        <f t="shared" ca="1" si="203"/>
        <v>-20</v>
      </c>
      <c r="AM148" s="72">
        <f t="shared" si="204"/>
        <v>0</v>
      </c>
      <c r="AN148" s="72">
        <f t="shared" si="205"/>
        <v>0</v>
      </c>
      <c r="AO148" s="72">
        <f t="shared" si="206"/>
        <v>0</v>
      </c>
      <c r="AP148" s="72">
        <f t="shared" si="207"/>
        <v>0</v>
      </c>
      <c r="AQ148" s="72">
        <f t="shared" si="208"/>
        <v>0</v>
      </c>
      <c r="AR148" s="72">
        <f t="shared" si="209"/>
        <v>0</v>
      </c>
      <c r="AS148" s="72">
        <f t="shared" si="210"/>
        <v>0</v>
      </c>
      <c r="AT148" s="72">
        <f t="shared" si="211"/>
        <v>0</v>
      </c>
      <c r="AU148" s="72">
        <f t="shared" si="212"/>
        <v>0</v>
      </c>
      <c r="AV148" s="72">
        <f t="shared" si="213"/>
        <v>0</v>
      </c>
      <c r="AW148" s="72">
        <f t="shared" si="214"/>
        <v>0</v>
      </c>
      <c r="AX148" s="72">
        <f t="shared" si="215"/>
        <v>0</v>
      </c>
      <c r="AY148" s="72">
        <f t="shared" si="216"/>
        <v>0</v>
      </c>
      <c r="AZ148" s="72">
        <f t="shared" si="217"/>
        <v>0</v>
      </c>
      <c r="BA148" s="72">
        <f t="shared" si="218"/>
        <v>0</v>
      </c>
      <c r="BB148" s="72">
        <f t="shared" si="219"/>
        <v>0</v>
      </c>
      <c r="BC148" s="72">
        <f t="shared" si="220"/>
        <v>0</v>
      </c>
      <c r="BD148" s="72">
        <f t="shared" si="221"/>
        <v>0</v>
      </c>
      <c r="BE148" s="72">
        <f t="shared" si="222"/>
        <v>0</v>
      </c>
      <c r="BF148" s="72">
        <f t="shared" si="223"/>
        <v>0</v>
      </c>
    </row>
    <row r="149" spans="1:58" x14ac:dyDescent="0.25">
      <c r="A149" s="34" t="s">
        <v>420</v>
      </c>
      <c r="B149" s="1" t="e">
        <f t="shared" si="196"/>
        <v>#N/A</v>
      </c>
      <c r="C149" s="1"/>
      <c r="D149" s="1"/>
      <c r="E149" t="s">
        <v>280</v>
      </c>
      <c r="G149" s="1" t="s">
        <v>208</v>
      </c>
      <c r="H149" s="95"/>
      <c r="AC149" s="1">
        <f>SUM(I149:INDEX(I149:AB149,Level))+H149</f>
        <v>0</v>
      </c>
      <c r="AD149" s="45">
        <f t="shared" si="197"/>
        <v>-25</v>
      </c>
      <c r="AE149" s="45" cm="1">
        <f t="array" aca="1" ref="AE149" ca="1">IF(G149="NA",0,INDIRECT(LEFT(G149,2))+INDIRECT(MID(G149,4,2))+INDIRECT(RIGHT(G149,2)))</f>
        <v>0</v>
      </c>
      <c r="AF149" s="45">
        <f t="shared" si="201"/>
        <v>0</v>
      </c>
      <c r="AG149" s="45">
        <f t="shared" si="202"/>
        <v>0</v>
      </c>
      <c r="AH149" s="45"/>
      <c r="AI149" s="51">
        <f t="shared" ca="1" si="203"/>
        <v>-25</v>
      </c>
      <c r="AM149" s="72">
        <f t="shared" si="204"/>
        <v>0</v>
      </c>
      <c r="AN149" s="72">
        <f t="shared" si="205"/>
        <v>0</v>
      </c>
      <c r="AO149" s="72">
        <f t="shared" si="206"/>
        <v>0</v>
      </c>
      <c r="AP149" s="72">
        <f t="shared" si="207"/>
        <v>0</v>
      </c>
      <c r="AQ149" s="72">
        <f t="shared" si="208"/>
        <v>0</v>
      </c>
      <c r="AR149" s="72">
        <f t="shared" si="209"/>
        <v>0</v>
      </c>
      <c r="AS149" s="72">
        <f t="shared" si="210"/>
        <v>0</v>
      </c>
      <c r="AT149" s="72">
        <f t="shared" si="211"/>
        <v>0</v>
      </c>
      <c r="AU149" s="72">
        <f t="shared" si="212"/>
        <v>0</v>
      </c>
      <c r="AV149" s="72">
        <f t="shared" si="213"/>
        <v>0</v>
      </c>
      <c r="AW149" s="72">
        <f t="shared" si="214"/>
        <v>0</v>
      </c>
      <c r="AX149" s="72">
        <f t="shared" si="215"/>
        <v>0</v>
      </c>
      <c r="AY149" s="72">
        <f t="shared" si="216"/>
        <v>0</v>
      </c>
      <c r="AZ149" s="72">
        <f t="shared" si="217"/>
        <v>0</v>
      </c>
      <c r="BA149" s="72">
        <f t="shared" si="218"/>
        <v>0</v>
      </c>
      <c r="BB149" s="72">
        <f t="shared" si="219"/>
        <v>0</v>
      </c>
      <c r="BC149" s="72">
        <f t="shared" si="220"/>
        <v>0</v>
      </c>
      <c r="BD149" s="72">
        <f t="shared" si="221"/>
        <v>0</v>
      </c>
      <c r="BE149" s="72">
        <f t="shared" si="222"/>
        <v>0</v>
      </c>
      <c r="BF149" s="72">
        <f t="shared" si="223"/>
        <v>0</v>
      </c>
    </row>
    <row r="150" spans="1:58" x14ac:dyDescent="0.25">
      <c r="A150" s="34" t="s">
        <v>420</v>
      </c>
      <c r="B150" s="1" t="e">
        <f t="shared" si="196"/>
        <v>#N/A</v>
      </c>
      <c r="C150" s="1"/>
      <c r="D150" s="1"/>
      <c r="E150" t="s">
        <v>280</v>
      </c>
      <c r="G150" s="1" t="s">
        <v>208</v>
      </c>
      <c r="H150" s="95"/>
      <c r="AC150" s="1">
        <f>SUM(I150:INDEX(I150:AB150,Level))+H150</f>
        <v>0</v>
      </c>
      <c r="AD150" s="45">
        <f t="shared" si="197"/>
        <v>-25</v>
      </c>
      <c r="AE150" s="45" cm="1">
        <f t="array" aca="1" ref="AE150" ca="1">IF(G150="NA",0,INDIRECT(LEFT(G150,2))+INDIRECT(MID(G150,4,2))+INDIRECT(RIGHT(G150,2)))</f>
        <v>0</v>
      </c>
      <c r="AF150" s="45">
        <f t="shared" si="201"/>
        <v>0</v>
      </c>
      <c r="AG150" s="45">
        <f t="shared" si="202"/>
        <v>0</v>
      </c>
      <c r="AH150" s="45"/>
      <c r="AI150" s="51">
        <f t="shared" ca="1" si="203"/>
        <v>-25</v>
      </c>
      <c r="AM150" s="72">
        <f t="shared" si="204"/>
        <v>0</v>
      </c>
      <c r="AN150" s="72">
        <f t="shared" si="205"/>
        <v>0</v>
      </c>
      <c r="AO150" s="72">
        <f t="shared" si="206"/>
        <v>0</v>
      </c>
      <c r="AP150" s="72">
        <f t="shared" si="207"/>
        <v>0</v>
      </c>
      <c r="AQ150" s="72">
        <f t="shared" si="208"/>
        <v>0</v>
      </c>
      <c r="AR150" s="72">
        <f t="shared" si="209"/>
        <v>0</v>
      </c>
      <c r="AS150" s="72">
        <f t="shared" si="210"/>
        <v>0</v>
      </c>
      <c r="AT150" s="72">
        <f t="shared" si="211"/>
        <v>0</v>
      </c>
      <c r="AU150" s="72">
        <f t="shared" si="212"/>
        <v>0</v>
      </c>
      <c r="AV150" s="72">
        <f t="shared" si="213"/>
        <v>0</v>
      </c>
      <c r="AW150" s="72">
        <f t="shared" si="214"/>
        <v>0</v>
      </c>
      <c r="AX150" s="72">
        <f t="shared" si="215"/>
        <v>0</v>
      </c>
      <c r="AY150" s="72">
        <f t="shared" si="216"/>
        <v>0</v>
      </c>
      <c r="AZ150" s="72">
        <f t="shared" si="217"/>
        <v>0</v>
      </c>
      <c r="BA150" s="72">
        <f t="shared" si="218"/>
        <v>0</v>
      </c>
      <c r="BB150" s="72">
        <f t="shared" si="219"/>
        <v>0</v>
      </c>
      <c r="BC150" s="72">
        <f t="shared" si="220"/>
        <v>0</v>
      </c>
      <c r="BD150" s="72">
        <f t="shared" si="221"/>
        <v>0</v>
      </c>
      <c r="BE150" s="72">
        <f t="shared" si="222"/>
        <v>0</v>
      </c>
      <c r="BF150" s="72">
        <f t="shared" si="223"/>
        <v>0</v>
      </c>
    </row>
    <row r="151" spans="1:58" x14ac:dyDescent="0.25">
      <c r="A151" s="34" t="s">
        <v>420</v>
      </c>
      <c r="B151" s="1" t="e">
        <f t="shared" si="196"/>
        <v>#N/A</v>
      </c>
      <c r="C151" s="1"/>
      <c r="D151" s="1"/>
      <c r="E151" t="s">
        <v>280</v>
      </c>
      <c r="G151" s="1" t="s">
        <v>208</v>
      </c>
      <c r="H151" s="95"/>
      <c r="AC151" s="1">
        <f>SUM(I151:INDEX(I151:AB151,Level))+H151</f>
        <v>0</v>
      </c>
      <c r="AD151" s="45">
        <f t="shared" si="197"/>
        <v>-25</v>
      </c>
      <c r="AE151" s="45" cm="1">
        <f t="array" aca="1" ref="AE151" ca="1">IF(G151="NA",0,INDIRECT(LEFT(G151,2))+INDIRECT(MID(G151,4,2))+INDIRECT(RIGHT(G151,2)))</f>
        <v>0</v>
      </c>
      <c r="AF151" s="45">
        <f t="shared" si="201"/>
        <v>0</v>
      </c>
      <c r="AG151" s="45">
        <f t="shared" si="202"/>
        <v>0</v>
      </c>
      <c r="AH151" s="45"/>
      <c r="AI151" s="51">
        <f t="shared" ca="1" si="203"/>
        <v>-25</v>
      </c>
      <c r="AM151" s="72">
        <f t="shared" si="204"/>
        <v>0</v>
      </c>
      <c r="AN151" s="72">
        <f t="shared" si="205"/>
        <v>0</v>
      </c>
      <c r="AO151" s="72">
        <f t="shared" si="206"/>
        <v>0</v>
      </c>
      <c r="AP151" s="72">
        <f t="shared" si="207"/>
        <v>0</v>
      </c>
      <c r="AQ151" s="72">
        <f t="shared" si="208"/>
        <v>0</v>
      </c>
      <c r="AR151" s="72">
        <f t="shared" si="209"/>
        <v>0</v>
      </c>
      <c r="AS151" s="72">
        <f t="shared" si="210"/>
        <v>0</v>
      </c>
      <c r="AT151" s="72">
        <f t="shared" si="211"/>
        <v>0</v>
      </c>
      <c r="AU151" s="72">
        <f t="shared" si="212"/>
        <v>0</v>
      </c>
      <c r="AV151" s="72">
        <f t="shared" si="213"/>
        <v>0</v>
      </c>
      <c r="AW151" s="72">
        <f t="shared" si="214"/>
        <v>0</v>
      </c>
      <c r="AX151" s="72">
        <f t="shared" si="215"/>
        <v>0</v>
      </c>
      <c r="AY151" s="72">
        <f t="shared" si="216"/>
        <v>0</v>
      </c>
      <c r="AZ151" s="72">
        <f t="shared" si="217"/>
        <v>0</v>
      </c>
      <c r="BA151" s="72">
        <f t="shared" si="218"/>
        <v>0</v>
      </c>
      <c r="BB151" s="72">
        <f t="shared" si="219"/>
        <v>0</v>
      </c>
      <c r="BC151" s="72">
        <f t="shared" si="220"/>
        <v>0</v>
      </c>
      <c r="BD151" s="72">
        <f t="shared" si="221"/>
        <v>0</v>
      </c>
      <c r="BE151" s="72">
        <f t="shared" si="222"/>
        <v>0</v>
      </c>
      <c r="BF151" s="72">
        <f t="shared" si="223"/>
        <v>0</v>
      </c>
    </row>
    <row r="152" spans="1:58" x14ac:dyDescent="0.25">
      <c r="A152" s="34" t="s">
        <v>420</v>
      </c>
      <c r="B152" s="1" t="e">
        <f t="shared" si="196"/>
        <v>#N/A</v>
      </c>
      <c r="C152" s="1"/>
      <c r="D152" s="1"/>
      <c r="E152" t="s">
        <v>280</v>
      </c>
      <c r="G152" s="1" t="s">
        <v>208</v>
      </c>
      <c r="H152" s="95"/>
      <c r="AC152" s="1">
        <f>SUM(I152:INDEX(I152:AB152,Level))+H152</f>
        <v>0</v>
      </c>
      <c r="AD152" s="45">
        <f t="shared" si="197"/>
        <v>-25</v>
      </c>
      <c r="AE152" s="45" cm="1">
        <f t="array" aca="1" ref="AE152" ca="1">IF(G152="NA",0,INDIRECT(LEFT(G152,2))+INDIRECT(MID(G152,4,2))+INDIRECT(RIGHT(G152,2)))</f>
        <v>0</v>
      </c>
      <c r="AF152" s="45">
        <f t="shared" si="201"/>
        <v>0</v>
      </c>
      <c r="AG152" s="45">
        <f t="shared" si="202"/>
        <v>0</v>
      </c>
      <c r="AH152" s="45"/>
      <c r="AI152" s="51">
        <f t="shared" ca="1" si="203"/>
        <v>-25</v>
      </c>
      <c r="AM152" s="72">
        <f t="shared" si="204"/>
        <v>0</v>
      </c>
      <c r="AN152" s="72">
        <f t="shared" si="205"/>
        <v>0</v>
      </c>
      <c r="AO152" s="72">
        <f t="shared" si="206"/>
        <v>0</v>
      </c>
      <c r="AP152" s="72">
        <f t="shared" si="207"/>
        <v>0</v>
      </c>
      <c r="AQ152" s="72">
        <f t="shared" si="208"/>
        <v>0</v>
      </c>
      <c r="AR152" s="72">
        <f t="shared" si="209"/>
        <v>0</v>
      </c>
      <c r="AS152" s="72">
        <f t="shared" si="210"/>
        <v>0</v>
      </c>
      <c r="AT152" s="72">
        <f t="shared" si="211"/>
        <v>0</v>
      </c>
      <c r="AU152" s="72">
        <f t="shared" si="212"/>
        <v>0</v>
      </c>
      <c r="AV152" s="72">
        <f t="shared" si="213"/>
        <v>0</v>
      </c>
      <c r="AW152" s="72">
        <f t="shared" si="214"/>
        <v>0</v>
      </c>
      <c r="AX152" s="72">
        <f t="shared" si="215"/>
        <v>0</v>
      </c>
      <c r="AY152" s="72">
        <f t="shared" si="216"/>
        <v>0</v>
      </c>
      <c r="AZ152" s="72">
        <f t="shared" si="217"/>
        <v>0</v>
      </c>
      <c r="BA152" s="72">
        <f t="shared" si="218"/>
        <v>0</v>
      </c>
      <c r="BB152" s="72">
        <f t="shared" si="219"/>
        <v>0</v>
      </c>
      <c r="BC152" s="72">
        <f t="shared" si="220"/>
        <v>0</v>
      </c>
      <c r="BD152" s="72">
        <f t="shared" si="221"/>
        <v>0</v>
      </c>
      <c r="BE152" s="72">
        <f t="shared" si="222"/>
        <v>0</v>
      </c>
      <c r="BF152" s="72">
        <f t="shared" si="223"/>
        <v>0</v>
      </c>
    </row>
    <row r="153" spans="1:58" x14ac:dyDescent="0.25">
      <c r="A153" s="34" t="s">
        <v>420</v>
      </c>
      <c r="B153" s="1" t="e">
        <f t="shared" si="196"/>
        <v>#N/A</v>
      </c>
      <c r="C153" s="1"/>
      <c r="D153" s="1"/>
      <c r="E153" t="s">
        <v>280</v>
      </c>
      <c r="G153" s="1" t="s">
        <v>208</v>
      </c>
      <c r="H153" s="95"/>
      <c r="AC153" s="1">
        <f>SUM(I153:INDEX(I153:AB153,Level))+H153</f>
        <v>0</v>
      </c>
      <c r="AD153" s="45">
        <f t="shared" si="197"/>
        <v>-25</v>
      </c>
      <c r="AE153" s="45" cm="1">
        <f t="array" aca="1" ref="AE153" ca="1">IF(G153="NA",0,INDIRECT(LEFT(G153,2))+INDIRECT(MID(G153,4,2))+INDIRECT(RIGHT(G153,2)))</f>
        <v>0</v>
      </c>
      <c r="AF153" s="45">
        <f t="shared" si="201"/>
        <v>0</v>
      </c>
      <c r="AG153" s="45">
        <f t="shared" si="202"/>
        <v>0</v>
      </c>
      <c r="AH153" s="45"/>
      <c r="AI153" s="51">
        <f t="shared" ca="1" si="203"/>
        <v>-25</v>
      </c>
      <c r="AM153" s="72">
        <f t="shared" si="204"/>
        <v>0</v>
      </c>
      <c r="AN153" s="72">
        <f t="shared" si="205"/>
        <v>0</v>
      </c>
      <c r="AO153" s="72">
        <f t="shared" si="206"/>
        <v>0</v>
      </c>
      <c r="AP153" s="72">
        <f t="shared" si="207"/>
        <v>0</v>
      </c>
      <c r="AQ153" s="72">
        <f t="shared" si="208"/>
        <v>0</v>
      </c>
      <c r="AR153" s="72">
        <f t="shared" si="209"/>
        <v>0</v>
      </c>
      <c r="AS153" s="72">
        <f t="shared" si="210"/>
        <v>0</v>
      </c>
      <c r="AT153" s="72">
        <f t="shared" si="211"/>
        <v>0</v>
      </c>
      <c r="AU153" s="72">
        <f t="shared" si="212"/>
        <v>0</v>
      </c>
      <c r="AV153" s="72">
        <f t="shared" si="213"/>
        <v>0</v>
      </c>
      <c r="AW153" s="72">
        <f t="shared" si="214"/>
        <v>0</v>
      </c>
      <c r="AX153" s="72">
        <f t="shared" si="215"/>
        <v>0</v>
      </c>
      <c r="AY153" s="72">
        <f t="shared" si="216"/>
        <v>0</v>
      </c>
      <c r="AZ153" s="72">
        <f t="shared" si="217"/>
        <v>0</v>
      </c>
      <c r="BA153" s="72">
        <f t="shared" si="218"/>
        <v>0</v>
      </c>
      <c r="BB153" s="72">
        <f t="shared" si="219"/>
        <v>0</v>
      </c>
      <c r="BC153" s="72">
        <f t="shared" si="220"/>
        <v>0</v>
      </c>
      <c r="BD153" s="72">
        <f t="shared" si="221"/>
        <v>0</v>
      </c>
      <c r="BE153" s="72">
        <f t="shared" si="222"/>
        <v>0</v>
      </c>
      <c r="BF153" s="72">
        <f t="shared" si="223"/>
        <v>0</v>
      </c>
    </row>
    <row r="154" spans="1:58" x14ac:dyDescent="0.25">
      <c r="A154" s="34" t="s">
        <v>420</v>
      </c>
      <c r="B154" s="1" t="e">
        <f t="shared" si="196"/>
        <v>#N/A</v>
      </c>
      <c r="C154" s="1"/>
      <c r="D154" s="1"/>
      <c r="E154" t="s">
        <v>280</v>
      </c>
      <c r="G154" s="1" t="s">
        <v>208</v>
      </c>
      <c r="H154" s="95"/>
      <c r="AC154" s="1">
        <f>SUM(I154:INDEX(I154:AB154,Level))+H154</f>
        <v>0</v>
      </c>
      <c r="AD154" s="45">
        <f t="shared" si="197"/>
        <v>-25</v>
      </c>
      <c r="AE154" s="45" cm="1">
        <f t="array" aca="1" ref="AE154" ca="1">IF(G154="NA",0,INDIRECT(LEFT(G154,2))+INDIRECT(MID(G154,4,2))+INDIRECT(RIGHT(G154,2)))</f>
        <v>0</v>
      </c>
      <c r="AF154" s="45">
        <f t="shared" si="201"/>
        <v>0</v>
      </c>
      <c r="AG154" s="45">
        <f t="shared" si="202"/>
        <v>0</v>
      </c>
      <c r="AH154" s="45"/>
      <c r="AI154" s="51">
        <f t="shared" ca="1" si="203"/>
        <v>-25</v>
      </c>
      <c r="AM154" s="72">
        <f t="shared" si="204"/>
        <v>0</v>
      </c>
      <c r="AN154" s="72">
        <f t="shared" si="205"/>
        <v>0</v>
      </c>
      <c r="AO154" s="72">
        <f t="shared" si="206"/>
        <v>0</v>
      </c>
      <c r="AP154" s="72">
        <f t="shared" si="207"/>
        <v>0</v>
      </c>
      <c r="AQ154" s="72">
        <f t="shared" si="208"/>
        <v>0</v>
      </c>
      <c r="AR154" s="72">
        <f t="shared" si="209"/>
        <v>0</v>
      </c>
      <c r="AS154" s="72">
        <f t="shared" si="210"/>
        <v>0</v>
      </c>
      <c r="AT154" s="72">
        <f t="shared" si="211"/>
        <v>0</v>
      </c>
      <c r="AU154" s="72">
        <f t="shared" si="212"/>
        <v>0</v>
      </c>
      <c r="AV154" s="72">
        <f t="shared" si="213"/>
        <v>0</v>
      </c>
      <c r="AW154" s="72">
        <f t="shared" si="214"/>
        <v>0</v>
      </c>
      <c r="AX154" s="72">
        <f t="shared" si="215"/>
        <v>0</v>
      </c>
      <c r="AY154" s="72">
        <f t="shared" si="216"/>
        <v>0</v>
      </c>
      <c r="AZ154" s="72">
        <f t="shared" si="217"/>
        <v>0</v>
      </c>
      <c r="BA154" s="72">
        <f t="shared" si="218"/>
        <v>0</v>
      </c>
      <c r="BB154" s="72">
        <f t="shared" si="219"/>
        <v>0</v>
      </c>
      <c r="BC154" s="72">
        <f t="shared" si="220"/>
        <v>0</v>
      </c>
      <c r="BD154" s="72">
        <f t="shared" si="221"/>
        <v>0</v>
      </c>
      <c r="BE154" s="72">
        <f t="shared" si="222"/>
        <v>0</v>
      </c>
      <c r="BF154" s="72">
        <f t="shared" si="223"/>
        <v>0</v>
      </c>
    </row>
    <row r="155" spans="1:58" x14ac:dyDescent="0.25">
      <c r="A155" s="34" t="s">
        <v>420</v>
      </c>
      <c r="B155" s="1" t="e">
        <f t="shared" si="196"/>
        <v>#N/A</v>
      </c>
      <c r="C155" s="1"/>
      <c r="D155" s="1"/>
      <c r="E155" t="s">
        <v>280</v>
      </c>
      <c r="G155" s="1" t="s">
        <v>208</v>
      </c>
      <c r="H155" s="95"/>
      <c r="AC155" s="1">
        <f>SUM(I155:INDEX(I155:AB155,Level))+H155</f>
        <v>0</v>
      </c>
      <c r="AD155" s="45">
        <f t="shared" si="197"/>
        <v>-25</v>
      </c>
      <c r="AE155" s="45" cm="1">
        <f t="array" aca="1" ref="AE155" ca="1">IF(G155="NA",0,INDIRECT(LEFT(G155,2))+INDIRECT(MID(G155,4,2))+INDIRECT(RIGHT(G155,2)))</f>
        <v>0</v>
      </c>
      <c r="AF155" s="45">
        <f t="shared" si="201"/>
        <v>0</v>
      </c>
      <c r="AG155" s="45">
        <f t="shared" si="202"/>
        <v>0</v>
      </c>
      <c r="AH155" s="45"/>
      <c r="AI155" s="51">
        <f t="shared" ca="1" si="203"/>
        <v>-25</v>
      </c>
      <c r="AM155" s="72">
        <f t="shared" si="204"/>
        <v>0</v>
      </c>
      <c r="AN155" s="72">
        <f t="shared" si="205"/>
        <v>0</v>
      </c>
      <c r="AO155" s="72">
        <f t="shared" si="206"/>
        <v>0</v>
      </c>
      <c r="AP155" s="72">
        <f t="shared" si="207"/>
        <v>0</v>
      </c>
      <c r="AQ155" s="72">
        <f t="shared" si="208"/>
        <v>0</v>
      </c>
      <c r="AR155" s="72">
        <f t="shared" si="209"/>
        <v>0</v>
      </c>
      <c r="AS155" s="72">
        <f t="shared" si="210"/>
        <v>0</v>
      </c>
      <c r="AT155" s="72">
        <f t="shared" si="211"/>
        <v>0</v>
      </c>
      <c r="AU155" s="72">
        <f t="shared" si="212"/>
        <v>0</v>
      </c>
      <c r="AV155" s="72">
        <f t="shared" si="213"/>
        <v>0</v>
      </c>
      <c r="AW155" s="72">
        <f t="shared" si="214"/>
        <v>0</v>
      </c>
      <c r="AX155" s="72">
        <f t="shared" si="215"/>
        <v>0</v>
      </c>
      <c r="AY155" s="72">
        <f t="shared" si="216"/>
        <v>0</v>
      </c>
      <c r="AZ155" s="72">
        <f t="shared" si="217"/>
        <v>0</v>
      </c>
      <c r="BA155" s="72">
        <f t="shared" si="218"/>
        <v>0</v>
      </c>
      <c r="BB155" s="72">
        <f t="shared" si="219"/>
        <v>0</v>
      </c>
      <c r="BC155" s="72">
        <f t="shared" si="220"/>
        <v>0</v>
      </c>
      <c r="BD155" s="72">
        <f t="shared" si="221"/>
        <v>0</v>
      </c>
      <c r="BE155" s="72">
        <f t="shared" si="222"/>
        <v>0</v>
      </c>
      <c r="BF155" s="72">
        <f t="shared" si="223"/>
        <v>0</v>
      </c>
    </row>
    <row r="156" spans="1:58" x14ac:dyDescent="0.25">
      <c r="A156" s="34" t="s">
        <v>420</v>
      </c>
      <c r="B156" s="1" t="e">
        <f t="shared" si="196"/>
        <v>#N/A</v>
      </c>
      <c r="C156" s="1"/>
      <c r="D156" s="1"/>
      <c r="E156" t="s">
        <v>280</v>
      </c>
      <c r="G156" s="1" t="s">
        <v>208</v>
      </c>
      <c r="H156" s="95"/>
      <c r="AC156" s="1">
        <f>SUM(I156:INDEX(I156:AB156,Level))+H156</f>
        <v>0</v>
      </c>
      <c r="AD156" s="45">
        <f t="shared" si="197"/>
        <v>-25</v>
      </c>
      <c r="AE156" s="45" cm="1">
        <f t="array" aca="1" ref="AE156" ca="1">IF(G156="NA",0,INDIRECT(LEFT(G156,2))+INDIRECT(MID(G156,4,2))+INDIRECT(RIGHT(G156,2)))</f>
        <v>0</v>
      </c>
      <c r="AF156" s="45">
        <f t="shared" si="201"/>
        <v>0</v>
      </c>
      <c r="AG156" s="45">
        <f t="shared" si="202"/>
        <v>0</v>
      </c>
      <c r="AH156" s="45"/>
      <c r="AI156" s="51">
        <f t="shared" ca="1" si="203"/>
        <v>-25</v>
      </c>
      <c r="AM156" s="72">
        <f t="shared" si="204"/>
        <v>0</v>
      </c>
      <c r="AN156" s="72">
        <f t="shared" si="205"/>
        <v>0</v>
      </c>
      <c r="AO156" s="72">
        <f t="shared" si="206"/>
        <v>0</v>
      </c>
      <c r="AP156" s="72">
        <f t="shared" si="207"/>
        <v>0</v>
      </c>
      <c r="AQ156" s="72">
        <f t="shared" si="208"/>
        <v>0</v>
      </c>
      <c r="AR156" s="72">
        <f t="shared" si="209"/>
        <v>0</v>
      </c>
      <c r="AS156" s="72">
        <f t="shared" si="210"/>
        <v>0</v>
      </c>
      <c r="AT156" s="72">
        <f t="shared" si="211"/>
        <v>0</v>
      </c>
      <c r="AU156" s="72">
        <f t="shared" si="212"/>
        <v>0</v>
      </c>
      <c r="AV156" s="72">
        <f t="shared" si="213"/>
        <v>0</v>
      </c>
      <c r="AW156" s="72">
        <f t="shared" si="214"/>
        <v>0</v>
      </c>
      <c r="AX156" s="72">
        <f t="shared" si="215"/>
        <v>0</v>
      </c>
      <c r="AY156" s="72">
        <f t="shared" si="216"/>
        <v>0</v>
      </c>
      <c r="AZ156" s="72">
        <f t="shared" si="217"/>
        <v>0</v>
      </c>
      <c r="BA156" s="72">
        <f t="shared" si="218"/>
        <v>0</v>
      </c>
      <c r="BB156" s="72">
        <f t="shared" si="219"/>
        <v>0</v>
      </c>
      <c r="BC156" s="72">
        <f t="shared" si="220"/>
        <v>0</v>
      </c>
      <c r="BD156" s="72">
        <f t="shared" si="221"/>
        <v>0</v>
      </c>
      <c r="BE156" s="72">
        <f t="shared" si="222"/>
        <v>0</v>
      </c>
      <c r="BF156" s="72">
        <f t="shared" si="223"/>
        <v>0</v>
      </c>
    </row>
    <row r="157" spans="1:58" x14ac:dyDescent="0.25">
      <c r="A157" s="34" t="s">
        <v>420</v>
      </c>
      <c r="B157" s="1" t="e">
        <f t="shared" si="196"/>
        <v>#N/A</v>
      </c>
      <c r="C157" s="1"/>
      <c r="D157" s="1"/>
      <c r="E157" t="s">
        <v>280</v>
      </c>
      <c r="G157" s="1" t="s">
        <v>208</v>
      </c>
      <c r="H157" s="95"/>
      <c r="AC157" s="1">
        <f>SUM(I157:INDEX(I157:AB157,Level))+H157</f>
        <v>0</v>
      </c>
      <c r="AD157" s="45">
        <f t="shared" si="197"/>
        <v>-25</v>
      </c>
      <c r="AE157" s="45" cm="1">
        <f t="array" aca="1" ref="AE157" ca="1">IF(G157="NA",0,INDIRECT(LEFT(G157,2))+INDIRECT(MID(G157,4,2))+INDIRECT(RIGHT(G157,2)))</f>
        <v>0</v>
      </c>
      <c r="AF157" s="45">
        <f t="shared" si="201"/>
        <v>0</v>
      </c>
      <c r="AG157" s="45">
        <f t="shared" si="202"/>
        <v>0</v>
      </c>
      <c r="AH157" s="45"/>
      <c r="AI157" s="51">
        <f t="shared" ca="1" si="203"/>
        <v>-25</v>
      </c>
      <c r="AM157" s="72">
        <f t="shared" si="204"/>
        <v>0</v>
      </c>
      <c r="AN157" s="72">
        <f t="shared" si="205"/>
        <v>0</v>
      </c>
      <c r="AO157" s="72">
        <f t="shared" si="206"/>
        <v>0</v>
      </c>
      <c r="AP157" s="72">
        <f t="shared" si="207"/>
        <v>0</v>
      </c>
      <c r="AQ157" s="72">
        <f t="shared" si="208"/>
        <v>0</v>
      </c>
      <c r="AR157" s="72">
        <f t="shared" si="209"/>
        <v>0</v>
      </c>
      <c r="AS157" s="72">
        <f t="shared" si="210"/>
        <v>0</v>
      </c>
      <c r="AT157" s="72">
        <f t="shared" si="211"/>
        <v>0</v>
      </c>
      <c r="AU157" s="72">
        <f t="shared" si="212"/>
        <v>0</v>
      </c>
      <c r="AV157" s="72">
        <f t="shared" si="213"/>
        <v>0</v>
      </c>
      <c r="AW157" s="72">
        <f t="shared" si="214"/>
        <v>0</v>
      </c>
      <c r="AX157" s="72">
        <f t="shared" si="215"/>
        <v>0</v>
      </c>
      <c r="AY157" s="72">
        <f t="shared" si="216"/>
        <v>0</v>
      </c>
      <c r="AZ157" s="72">
        <f t="shared" si="217"/>
        <v>0</v>
      </c>
      <c r="BA157" s="72">
        <f t="shared" si="218"/>
        <v>0</v>
      </c>
      <c r="BB157" s="72">
        <f t="shared" si="219"/>
        <v>0</v>
      </c>
      <c r="BC157" s="72">
        <f t="shared" si="220"/>
        <v>0</v>
      </c>
      <c r="BD157" s="72">
        <f t="shared" si="221"/>
        <v>0</v>
      </c>
      <c r="BE157" s="72">
        <f t="shared" si="222"/>
        <v>0</v>
      </c>
      <c r="BF157" s="72">
        <f t="shared" si="223"/>
        <v>0</v>
      </c>
    </row>
    <row r="158" spans="1:58" x14ac:dyDescent="0.25">
      <c r="A158" s="34" t="s">
        <v>420</v>
      </c>
      <c r="B158" s="1" t="e">
        <f t="shared" si="196"/>
        <v>#N/A</v>
      </c>
      <c r="C158" s="1"/>
      <c r="D158" s="1"/>
      <c r="E158" t="s">
        <v>280</v>
      </c>
      <c r="G158" s="1" t="s">
        <v>208</v>
      </c>
      <c r="H158" s="95"/>
      <c r="AC158" s="1">
        <f>SUM(I158:INDEX(I158:AB158,Level))+H158</f>
        <v>0</v>
      </c>
      <c r="AD158" s="45">
        <f t="shared" si="197"/>
        <v>-25</v>
      </c>
      <c r="AE158" s="45" cm="1">
        <f t="array" aca="1" ref="AE158" ca="1">IF(G158="NA",0,INDIRECT(LEFT(G158,2))+INDIRECT(MID(G158,4,2))+INDIRECT(RIGHT(G158,2)))</f>
        <v>0</v>
      </c>
      <c r="AF158" s="45">
        <f t="shared" si="201"/>
        <v>0</v>
      </c>
      <c r="AG158" s="45">
        <f t="shared" si="202"/>
        <v>0</v>
      </c>
      <c r="AH158" s="45"/>
      <c r="AI158" s="51">
        <f t="shared" ca="1" si="203"/>
        <v>-25</v>
      </c>
      <c r="AM158" s="72">
        <f t="shared" si="204"/>
        <v>0</v>
      </c>
      <c r="AN158" s="72">
        <f t="shared" si="205"/>
        <v>0</v>
      </c>
      <c r="AO158" s="72">
        <f t="shared" si="206"/>
        <v>0</v>
      </c>
      <c r="AP158" s="72">
        <f t="shared" si="207"/>
        <v>0</v>
      </c>
      <c r="AQ158" s="72">
        <f t="shared" si="208"/>
        <v>0</v>
      </c>
      <c r="AR158" s="72">
        <f t="shared" si="209"/>
        <v>0</v>
      </c>
      <c r="AS158" s="72">
        <f t="shared" si="210"/>
        <v>0</v>
      </c>
      <c r="AT158" s="72">
        <f t="shared" si="211"/>
        <v>0</v>
      </c>
      <c r="AU158" s="72">
        <f t="shared" si="212"/>
        <v>0</v>
      </c>
      <c r="AV158" s="72">
        <f t="shared" si="213"/>
        <v>0</v>
      </c>
      <c r="AW158" s="72">
        <f t="shared" si="214"/>
        <v>0</v>
      </c>
      <c r="AX158" s="72">
        <f t="shared" si="215"/>
        <v>0</v>
      </c>
      <c r="AY158" s="72">
        <f t="shared" si="216"/>
        <v>0</v>
      </c>
      <c r="AZ158" s="72">
        <f t="shared" si="217"/>
        <v>0</v>
      </c>
      <c r="BA158" s="72">
        <f t="shared" si="218"/>
        <v>0</v>
      </c>
      <c r="BB158" s="72">
        <f t="shared" si="219"/>
        <v>0</v>
      </c>
      <c r="BC158" s="72">
        <f t="shared" si="220"/>
        <v>0</v>
      </c>
      <c r="BD158" s="72">
        <f t="shared" si="221"/>
        <v>0</v>
      </c>
      <c r="BE158" s="72">
        <f t="shared" si="222"/>
        <v>0</v>
      </c>
      <c r="BF158" s="72">
        <f t="shared" si="223"/>
        <v>0</v>
      </c>
    </row>
    <row r="159" spans="1:58" x14ac:dyDescent="0.25">
      <c r="A159" s="34" t="s">
        <v>420</v>
      </c>
      <c r="B159" s="1" t="e">
        <f t="shared" si="196"/>
        <v>#N/A</v>
      </c>
      <c r="C159" s="1"/>
      <c r="D159" s="1"/>
      <c r="E159" t="s">
        <v>282</v>
      </c>
      <c r="G159" s="1" t="s">
        <v>208</v>
      </c>
      <c r="H159" s="95"/>
      <c r="AC159" s="1">
        <f>SUM(I159:INDEX(I159:AB159,Level))+H159</f>
        <v>0</v>
      </c>
      <c r="AD159" s="45">
        <f t="shared" si="197"/>
        <v>-30</v>
      </c>
      <c r="AE159" s="45" cm="1">
        <f t="array" aca="1" ref="AE159" ca="1">IF(G159="NA",0,INDIRECT(LEFT(G159,2))+INDIRECT(MID(G159,4,2))+INDIRECT(RIGHT(G159,2)))</f>
        <v>0</v>
      </c>
      <c r="AF159" s="45">
        <f t="shared" si="201"/>
        <v>0</v>
      </c>
      <c r="AG159" s="45">
        <f t="shared" si="202"/>
        <v>0</v>
      </c>
      <c r="AH159" s="45"/>
      <c r="AI159" s="51">
        <f t="shared" ca="1" si="203"/>
        <v>-30</v>
      </c>
      <c r="AM159" s="72">
        <f t="shared" si="204"/>
        <v>0</v>
      </c>
      <c r="AN159" s="72">
        <f t="shared" si="205"/>
        <v>0</v>
      </c>
      <c r="AO159" s="72">
        <f t="shared" si="206"/>
        <v>0</v>
      </c>
      <c r="AP159" s="72">
        <f t="shared" si="207"/>
        <v>0</v>
      </c>
      <c r="AQ159" s="72">
        <f t="shared" si="208"/>
        <v>0</v>
      </c>
      <c r="AR159" s="72">
        <f t="shared" si="209"/>
        <v>0</v>
      </c>
      <c r="AS159" s="72">
        <f t="shared" si="210"/>
        <v>0</v>
      </c>
      <c r="AT159" s="72">
        <f t="shared" si="211"/>
        <v>0</v>
      </c>
      <c r="AU159" s="72">
        <f t="shared" si="212"/>
        <v>0</v>
      </c>
      <c r="AV159" s="72">
        <f t="shared" si="213"/>
        <v>0</v>
      </c>
      <c r="AW159" s="72">
        <f t="shared" si="214"/>
        <v>0</v>
      </c>
      <c r="AX159" s="72">
        <f t="shared" si="215"/>
        <v>0</v>
      </c>
      <c r="AY159" s="72">
        <f t="shared" si="216"/>
        <v>0</v>
      </c>
      <c r="AZ159" s="72">
        <f t="shared" si="217"/>
        <v>0</v>
      </c>
      <c r="BA159" s="72">
        <f t="shared" si="218"/>
        <v>0</v>
      </c>
      <c r="BB159" s="72">
        <f t="shared" si="219"/>
        <v>0</v>
      </c>
      <c r="BC159" s="72">
        <f t="shared" si="220"/>
        <v>0</v>
      </c>
      <c r="BD159" s="72">
        <f t="shared" si="221"/>
        <v>0</v>
      </c>
      <c r="BE159" s="72">
        <f t="shared" si="222"/>
        <v>0</v>
      </c>
      <c r="BF159" s="72">
        <f t="shared" si="223"/>
        <v>0</v>
      </c>
    </row>
    <row r="160" spans="1:58" x14ac:dyDescent="0.25">
      <c r="A160" s="34" t="s">
        <v>420</v>
      </c>
      <c r="B160" s="1" t="e">
        <f t="shared" si="196"/>
        <v>#N/A</v>
      </c>
      <c r="C160" s="1"/>
      <c r="D160" s="1"/>
      <c r="E160" t="s">
        <v>282</v>
      </c>
      <c r="G160" s="1" t="s">
        <v>208</v>
      </c>
      <c r="H160" s="95"/>
      <c r="AC160" s="1">
        <f>SUM(I160:INDEX(I160:AB160,Level))+H160</f>
        <v>0</v>
      </c>
      <c r="AD160" s="45">
        <f t="shared" si="197"/>
        <v>-30</v>
      </c>
      <c r="AE160" s="45" cm="1">
        <f t="array" aca="1" ref="AE160" ca="1">IF(G160="NA",0,INDIRECT(LEFT(G160,2))+INDIRECT(MID(G160,4,2))+INDIRECT(RIGHT(G160,2)))</f>
        <v>0</v>
      </c>
      <c r="AF160" s="45">
        <f t="shared" si="201"/>
        <v>0</v>
      </c>
      <c r="AG160" s="45">
        <f t="shared" si="202"/>
        <v>0</v>
      </c>
      <c r="AH160" s="45"/>
      <c r="AI160" s="51">
        <f t="shared" ca="1" si="203"/>
        <v>-30</v>
      </c>
      <c r="AM160" s="72">
        <f t="shared" si="204"/>
        <v>0</v>
      </c>
      <c r="AN160" s="72">
        <f t="shared" si="205"/>
        <v>0</v>
      </c>
      <c r="AO160" s="72">
        <f t="shared" si="206"/>
        <v>0</v>
      </c>
      <c r="AP160" s="72">
        <f t="shared" si="207"/>
        <v>0</v>
      </c>
      <c r="AQ160" s="72">
        <f t="shared" si="208"/>
        <v>0</v>
      </c>
      <c r="AR160" s="72">
        <f t="shared" si="209"/>
        <v>0</v>
      </c>
      <c r="AS160" s="72">
        <f t="shared" si="210"/>
        <v>0</v>
      </c>
      <c r="AT160" s="72">
        <f t="shared" si="211"/>
        <v>0</v>
      </c>
      <c r="AU160" s="72">
        <f t="shared" si="212"/>
        <v>0</v>
      </c>
      <c r="AV160" s="72">
        <f t="shared" si="213"/>
        <v>0</v>
      </c>
      <c r="AW160" s="72">
        <f t="shared" si="214"/>
        <v>0</v>
      </c>
      <c r="AX160" s="72">
        <f t="shared" si="215"/>
        <v>0</v>
      </c>
      <c r="AY160" s="72">
        <f t="shared" si="216"/>
        <v>0</v>
      </c>
      <c r="AZ160" s="72">
        <f t="shared" si="217"/>
        <v>0</v>
      </c>
      <c r="BA160" s="72">
        <f t="shared" si="218"/>
        <v>0</v>
      </c>
      <c r="BB160" s="72">
        <f t="shared" si="219"/>
        <v>0</v>
      </c>
      <c r="BC160" s="72">
        <f t="shared" si="220"/>
        <v>0</v>
      </c>
      <c r="BD160" s="72">
        <f t="shared" si="221"/>
        <v>0</v>
      </c>
      <c r="BE160" s="72">
        <f t="shared" si="222"/>
        <v>0</v>
      </c>
      <c r="BF160" s="72">
        <f t="shared" si="223"/>
        <v>0</v>
      </c>
    </row>
    <row r="161" spans="1:58" x14ac:dyDescent="0.25">
      <c r="A161" s="34" t="s">
        <v>420</v>
      </c>
      <c r="B161" s="1" t="e">
        <f t="shared" si="196"/>
        <v>#N/A</v>
      </c>
      <c r="C161" s="1"/>
      <c r="D161" s="1"/>
      <c r="E161" t="s">
        <v>282</v>
      </c>
      <c r="G161" s="1" t="s">
        <v>208</v>
      </c>
      <c r="H161" s="95"/>
      <c r="AC161" s="1">
        <f>SUM(I161:INDEX(I161:AB161,Level))+H161</f>
        <v>0</v>
      </c>
      <c r="AD161" s="45">
        <f t="shared" si="197"/>
        <v>-30</v>
      </c>
      <c r="AE161" s="45" cm="1">
        <f t="array" aca="1" ref="AE161" ca="1">IF(G161="NA",0,INDIRECT(LEFT(G161,2))+INDIRECT(MID(G161,4,2))+INDIRECT(RIGHT(G161,2)))</f>
        <v>0</v>
      </c>
      <c r="AF161" s="45">
        <f t="shared" si="201"/>
        <v>0</v>
      </c>
      <c r="AG161" s="45">
        <f t="shared" si="202"/>
        <v>0</v>
      </c>
      <c r="AH161" s="45"/>
      <c r="AI161" s="51">
        <f t="shared" ca="1" si="203"/>
        <v>-30</v>
      </c>
      <c r="AM161" s="72">
        <f t="shared" si="204"/>
        <v>0</v>
      </c>
      <c r="AN161" s="72">
        <f t="shared" si="205"/>
        <v>0</v>
      </c>
      <c r="AO161" s="72">
        <f t="shared" si="206"/>
        <v>0</v>
      </c>
      <c r="AP161" s="72">
        <f t="shared" si="207"/>
        <v>0</v>
      </c>
      <c r="AQ161" s="72">
        <f t="shared" si="208"/>
        <v>0</v>
      </c>
      <c r="AR161" s="72">
        <f t="shared" si="209"/>
        <v>0</v>
      </c>
      <c r="AS161" s="72">
        <f t="shared" si="210"/>
        <v>0</v>
      </c>
      <c r="AT161" s="72">
        <f t="shared" si="211"/>
        <v>0</v>
      </c>
      <c r="AU161" s="72">
        <f t="shared" si="212"/>
        <v>0</v>
      </c>
      <c r="AV161" s="72">
        <f t="shared" si="213"/>
        <v>0</v>
      </c>
      <c r="AW161" s="72">
        <f t="shared" si="214"/>
        <v>0</v>
      </c>
      <c r="AX161" s="72">
        <f t="shared" si="215"/>
        <v>0</v>
      </c>
      <c r="AY161" s="72">
        <f t="shared" si="216"/>
        <v>0</v>
      </c>
      <c r="AZ161" s="72">
        <f t="shared" si="217"/>
        <v>0</v>
      </c>
      <c r="BA161" s="72">
        <f t="shared" si="218"/>
        <v>0</v>
      </c>
      <c r="BB161" s="72">
        <f t="shared" si="219"/>
        <v>0</v>
      </c>
      <c r="BC161" s="72">
        <f t="shared" si="220"/>
        <v>0</v>
      </c>
      <c r="BD161" s="72">
        <f t="shared" si="221"/>
        <v>0</v>
      </c>
      <c r="BE161" s="72">
        <f t="shared" si="222"/>
        <v>0</v>
      </c>
      <c r="BF161" s="72">
        <f t="shared" si="223"/>
        <v>0</v>
      </c>
    </row>
    <row r="162" spans="1:58" x14ac:dyDescent="0.25">
      <c r="A162" s="34" t="s">
        <v>420</v>
      </c>
      <c r="B162" s="1" t="e">
        <f t="shared" si="196"/>
        <v>#N/A</v>
      </c>
      <c r="C162" s="1"/>
      <c r="D162" s="1"/>
      <c r="E162" t="s">
        <v>282</v>
      </c>
      <c r="G162" s="1" t="s">
        <v>208</v>
      </c>
      <c r="H162" s="95"/>
      <c r="AC162" s="1">
        <f>SUM(I162:INDEX(I162:AB162,Level))+H162</f>
        <v>0</v>
      </c>
      <c r="AD162" s="45">
        <f t="shared" si="197"/>
        <v>-30</v>
      </c>
      <c r="AE162" s="45" cm="1">
        <f t="array" aca="1" ref="AE162" ca="1">IF(G162="NA",0,INDIRECT(LEFT(G162,2))+INDIRECT(MID(G162,4,2))+INDIRECT(RIGHT(G162,2)))</f>
        <v>0</v>
      </c>
      <c r="AF162" s="45">
        <f t="shared" si="201"/>
        <v>0</v>
      </c>
      <c r="AG162" s="45">
        <f t="shared" si="202"/>
        <v>0</v>
      </c>
      <c r="AH162" s="45"/>
      <c r="AI162" s="51">
        <f t="shared" ca="1" si="203"/>
        <v>-30</v>
      </c>
      <c r="AM162" s="72">
        <f t="shared" si="204"/>
        <v>0</v>
      </c>
      <c r="AN162" s="72">
        <f t="shared" si="205"/>
        <v>0</v>
      </c>
      <c r="AO162" s="72">
        <f t="shared" si="206"/>
        <v>0</v>
      </c>
      <c r="AP162" s="72">
        <f t="shared" si="207"/>
        <v>0</v>
      </c>
      <c r="AQ162" s="72">
        <f t="shared" si="208"/>
        <v>0</v>
      </c>
      <c r="AR162" s="72">
        <f t="shared" si="209"/>
        <v>0</v>
      </c>
      <c r="AS162" s="72">
        <f t="shared" si="210"/>
        <v>0</v>
      </c>
      <c r="AT162" s="72">
        <f t="shared" si="211"/>
        <v>0</v>
      </c>
      <c r="AU162" s="72">
        <f t="shared" si="212"/>
        <v>0</v>
      </c>
      <c r="AV162" s="72">
        <f t="shared" si="213"/>
        <v>0</v>
      </c>
      <c r="AW162" s="72">
        <f t="shared" si="214"/>
        <v>0</v>
      </c>
      <c r="AX162" s="72">
        <f t="shared" si="215"/>
        <v>0</v>
      </c>
      <c r="AY162" s="72">
        <f t="shared" si="216"/>
        <v>0</v>
      </c>
      <c r="AZ162" s="72">
        <f t="shared" si="217"/>
        <v>0</v>
      </c>
      <c r="BA162" s="72">
        <f t="shared" si="218"/>
        <v>0</v>
      </c>
      <c r="BB162" s="72">
        <f t="shared" si="219"/>
        <v>0</v>
      </c>
      <c r="BC162" s="72">
        <f t="shared" si="220"/>
        <v>0</v>
      </c>
      <c r="BD162" s="72">
        <f t="shared" si="221"/>
        <v>0</v>
      </c>
      <c r="BE162" s="72">
        <f t="shared" si="222"/>
        <v>0</v>
      </c>
      <c r="BF162" s="72">
        <f t="shared" si="223"/>
        <v>0</v>
      </c>
    </row>
    <row r="163" spans="1:58" x14ac:dyDescent="0.25">
      <c r="A163" s="34" t="s">
        <v>420</v>
      </c>
      <c r="B163" s="1" t="e">
        <f t="shared" si="196"/>
        <v>#N/A</v>
      </c>
      <c r="C163" s="1"/>
      <c r="D163" s="1"/>
      <c r="E163" t="s">
        <v>282</v>
      </c>
      <c r="G163" s="1" t="s">
        <v>208</v>
      </c>
      <c r="H163" s="95"/>
      <c r="AC163" s="1">
        <f>SUM(I163:INDEX(I163:AB163,Level))+H163</f>
        <v>0</v>
      </c>
      <c r="AD163" s="45">
        <f t="shared" si="197"/>
        <v>-30</v>
      </c>
      <c r="AE163" s="45" cm="1">
        <f t="array" aca="1" ref="AE163" ca="1">IF(G163="NA",0,INDIRECT(LEFT(G163,2))+INDIRECT(MID(G163,4,2))+INDIRECT(RIGHT(G163,2)))</f>
        <v>0</v>
      </c>
      <c r="AF163" s="45">
        <f t="shared" si="201"/>
        <v>0</v>
      </c>
      <c r="AG163" s="45">
        <f t="shared" si="202"/>
        <v>0</v>
      </c>
      <c r="AH163" s="45"/>
      <c r="AI163" s="51">
        <f t="shared" ca="1" si="203"/>
        <v>-30</v>
      </c>
      <c r="AM163" s="72">
        <f t="shared" si="204"/>
        <v>0</v>
      </c>
      <c r="AN163" s="72">
        <f t="shared" si="205"/>
        <v>0</v>
      </c>
      <c r="AO163" s="72">
        <f t="shared" si="206"/>
        <v>0</v>
      </c>
      <c r="AP163" s="72">
        <f t="shared" si="207"/>
        <v>0</v>
      </c>
      <c r="AQ163" s="72">
        <f t="shared" si="208"/>
        <v>0</v>
      </c>
      <c r="AR163" s="72">
        <f t="shared" si="209"/>
        <v>0</v>
      </c>
      <c r="AS163" s="72">
        <f t="shared" si="210"/>
        <v>0</v>
      </c>
      <c r="AT163" s="72">
        <f t="shared" si="211"/>
        <v>0</v>
      </c>
      <c r="AU163" s="72">
        <f t="shared" si="212"/>
        <v>0</v>
      </c>
      <c r="AV163" s="72">
        <f t="shared" si="213"/>
        <v>0</v>
      </c>
      <c r="AW163" s="72">
        <f t="shared" si="214"/>
        <v>0</v>
      </c>
      <c r="AX163" s="72">
        <f t="shared" si="215"/>
        <v>0</v>
      </c>
      <c r="AY163" s="72">
        <f t="shared" si="216"/>
        <v>0</v>
      </c>
      <c r="AZ163" s="72">
        <f t="shared" si="217"/>
        <v>0</v>
      </c>
      <c r="BA163" s="72">
        <f t="shared" si="218"/>
        <v>0</v>
      </c>
      <c r="BB163" s="72">
        <f t="shared" si="219"/>
        <v>0</v>
      </c>
      <c r="BC163" s="72">
        <f t="shared" si="220"/>
        <v>0</v>
      </c>
      <c r="BD163" s="72">
        <f t="shared" si="221"/>
        <v>0</v>
      </c>
      <c r="BE163" s="72">
        <f t="shared" si="222"/>
        <v>0</v>
      </c>
      <c r="BF163" s="72">
        <f t="shared" si="223"/>
        <v>0</v>
      </c>
    </row>
    <row r="164" spans="1:58" x14ac:dyDescent="0.25">
      <c r="A164" s="34" t="s">
        <v>420</v>
      </c>
      <c r="B164" s="1" t="e">
        <f t="shared" si="196"/>
        <v>#N/A</v>
      </c>
      <c r="C164" s="1"/>
      <c r="D164" s="1"/>
      <c r="E164" t="s">
        <v>282</v>
      </c>
      <c r="G164" s="1" t="s">
        <v>208</v>
      </c>
      <c r="H164" s="95"/>
      <c r="AC164" s="1">
        <f>SUM(I164:INDEX(I164:AB164,Level))+H164</f>
        <v>0</v>
      </c>
      <c r="AD164" s="45">
        <f t="shared" si="197"/>
        <v>-30</v>
      </c>
      <c r="AE164" s="45" cm="1">
        <f t="array" aca="1" ref="AE164" ca="1">IF(G164="NA",0,INDIRECT(LEFT(G164,2))+INDIRECT(MID(G164,4,2))+INDIRECT(RIGHT(G164,2)))</f>
        <v>0</v>
      </c>
      <c r="AF164" s="45">
        <f t="shared" si="201"/>
        <v>0</v>
      </c>
      <c r="AG164" s="45">
        <f t="shared" si="202"/>
        <v>0</v>
      </c>
      <c r="AH164" s="45"/>
      <c r="AI164" s="51">
        <f t="shared" ca="1" si="203"/>
        <v>-30</v>
      </c>
      <c r="AM164" s="72">
        <f t="shared" si="204"/>
        <v>0</v>
      </c>
      <c r="AN164" s="72">
        <f t="shared" si="205"/>
        <v>0</v>
      </c>
      <c r="AO164" s="72">
        <f t="shared" si="206"/>
        <v>0</v>
      </c>
      <c r="AP164" s="72">
        <f t="shared" si="207"/>
        <v>0</v>
      </c>
      <c r="AQ164" s="72">
        <f t="shared" si="208"/>
        <v>0</v>
      </c>
      <c r="AR164" s="72">
        <f t="shared" si="209"/>
        <v>0</v>
      </c>
      <c r="AS164" s="72">
        <f t="shared" si="210"/>
        <v>0</v>
      </c>
      <c r="AT164" s="72">
        <f t="shared" si="211"/>
        <v>0</v>
      </c>
      <c r="AU164" s="72">
        <f t="shared" si="212"/>
        <v>0</v>
      </c>
      <c r="AV164" s="72">
        <f t="shared" si="213"/>
        <v>0</v>
      </c>
      <c r="AW164" s="72">
        <f t="shared" si="214"/>
        <v>0</v>
      </c>
      <c r="AX164" s="72">
        <f t="shared" si="215"/>
        <v>0</v>
      </c>
      <c r="AY164" s="72">
        <f t="shared" si="216"/>
        <v>0</v>
      </c>
      <c r="AZ164" s="72">
        <f t="shared" si="217"/>
        <v>0</v>
      </c>
      <c r="BA164" s="72">
        <f t="shared" si="218"/>
        <v>0</v>
      </c>
      <c r="BB164" s="72">
        <f t="shared" si="219"/>
        <v>0</v>
      </c>
      <c r="BC164" s="72">
        <f t="shared" si="220"/>
        <v>0</v>
      </c>
      <c r="BD164" s="72">
        <f t="shared" si="221"/>
        <v>0</v>
      </c>
      <c r="BE164" s="72">
        <f t="shared" si="222"/>
        <v>0</v>
      </c>
      <c r="BF164" s="72">
        <f t="shared" si="223"/>
        <v>0</v>
      </c>
    </row>
    <row r="165" spans="1:58" x14ac:dyDescent="0.25">
      <c r="A165" s="34" t="s">
        <v>420</v>
      </c>
      <c r="B165" s="1" t="e">
        <f t="shared" si="196"/>
        <v>#N/A</v>
      </c>
      <c r="C165" s="1"/>
      <c r="D165" s="1"/>
      <c r="E165" t="s">
        <v>282</v>
      </c>
      <c r="G165" s="1" t="s">
        <v>208</v>
      </c>
      <c r="H165" s="95"/>
      <c r="AC165" s="1">
        <f>SUM(I165:INDEX(I165:AB165,Level))+H165</f>
        <v>0</v>
      </c>
      <c r="AD165" s="45">
        <f t="shared" si="197"/>
        <v>-30</v>
      </c>
      <c r="AE165" s="45" cm="1">
        <f t="array" aca="1" ref="AE165" ca="1">IF(G165="NA",0,INDIRECT(LEFT(G165,2))+INDIRECT(MID(G165,4,2))+INDIRECT(RIGHT(G165,2)))</f>
        <v>0</v>
      </c>
      <c r="AF165" s="45">
        <f t="shared" si="201"/>
        <v>0</v>
      </c>
      <c r="AG165" s="45">
        <f t="shared" si="202"/>
        <v>0</v>
      </c>
      <c r="AH165" s="45"/>
      <c r="AI165" s="51">
        <f t="shared" ca="1" si="203"/>
        <v>-30</v>
      </c>
      <c r="AM165" s="72">
        <f t="shared" si="204"/>
        <v>0</v>
      </c>
      <c r="AN165" s="72">
        <f t="shared" si="205"/>
        <v>0</v>
      </c>
      <c r="AO165" s="72">
        <f t="shared" si="206"/>
        <v>0</v>
      </c>
      <c r="AP165" s="72">
        <f t="shared" si="207"/>
        <v>0</v>
      </c>
      <c r="AQ165" s="72">
        <f t="shared" si="208"/>
        <v>0</v>
      </c>
      <c r="AR165" s="72">
        <f t="shared" si="209"/>
        <v>0</v>
      </c>
      <c r="AS165" s="72">
        <f t="shared" si="210"/>
        <v>0</v>
      </c>
      <c r="AT165" s="72">
        <f t="shared" si="211"/>
        <v>0</v>
      </c>
      <c r="AU165" s="72">
        <f t="shared" si="212"/>
        <v>0</v>
      </c>
      <c r="AV165" s="72">
        <f t="shared" si="213"/>
        <v>0</v>
      </c>
      <c r="AW165" s="72">
        <f t="shared" si="214"/>
        <v>0</v>
      </c>
      <c r="AX165" s="72">
        <f t="shared" si="215"/>
        <v>0</v>
      </c>
      <c r="AY165" s="72">
        <f t="shared" si="216"/>
        <v>0</v>
      </c>
      <c r="AZ165" s="72">
        <f t="shared" si="217"/>
        <v>0</v>
      </c>
      <c r="BA165" s="72">
        <f t="shared" si="218"/>
        <v>0</v>
      </c>
      <c r="BB165" s="72">
        <f t="shared" si="219"/>
        <v>0</v>
      </c>
      <c r="BC165" s="72">
        <f t="shared" si="220"/>
        <v>0</v>
      </c>
      <c r="BD165" s="72">
        <f t="shared" si="221"/>
        <v>0</v>
      </c>
      <c r="BE165" s="72">
        <f t="shared" si="222"/>
        <v>0</v>
      </c>
      <c r="BF165" s="72">
        <f t="shared" si="223"/>
        <v>0</v>
      </c>
    </row>
    <row r="166" spans="1:58" x14ac:dyDescent="0.25">
      <c r="A166" s="34" t="s">
        <v>420</v>
      </c>
      <c r="B166" s="1" t="e">
        <f t="shared" si="196"/>
        <v>#N/A</v>
      </c>
      <c r="C166" s="1"/>
      <c r="D166" s="1"/>
      <c r="E166" t="s">
        <v>282</v>
      </c>
      <c r="G166" s="1" t="s">
        <v>208</v>
      </c>
      <c r="H166" s="95"/>
      <c r="AC166" s="1">
        <f>SUM(I166:INDEX(I166:AB166,Level))+H166</f>
        <v>0</v>
      </c>
      <c r="AD166" s="45">
        <f t="shared" si="197"/>
        <v>-30</v>
      </c>
      <c r="AE166" s="45" cm="1">
        <f t="array" aca="1" ref="AE166" ca="1">IF(G166="NA",0,INDIRECT(LEFT(G166,2))+INDIRECT(MID(G166,4,2))+INDIRECT(RIGHT(G166,2)))</f>
        <v>0</v>
      </c>
      <c r="AF166" s="45">
        <f t="shared" si="201"/>
        <v>0</v>
      </c>
      <c r="AG166" s="45">
        <f t="shared" si="202"/>
        <v>0</v>
      </c>
      <c r="AH166" s="45"/>
      <c r="AI166" s="51">
        <f t="shared" ca="1" si="203"/>
        <v>-30</v>
      </c>
      <c r="AM166" s="72">
        <f t="shared" si="204"/>
        <v>0</v>
      </c>
      <c r="AN166" s="72">
        <f t="shared" si="205"/>
        <v>0</v>
      </c>
      <c r="AO166" s="72">
        <f t="shared" si="206"/>
        <v>0</v>
      </c>
      <c r="AP166" s="72">
        <f t="shared" si="207"/>
        <v>0</v>
      </c>
      <c r="AQ166" s="72">
        <f t="shared" si="208"/>
        <v>0</v>
      </c>
      <c r="AR166" s="72">
        <f t="shared" si="209"/>
        <v>0</v>
      </c>
      <c r="AS166" s="72">
        <f t="shared" si="210"/>
        <v>0</v>
      </c>
      <c r="AT166" s="72">
        <f t="shared" si="211"/>
        <v>0</v>
      </c>
      <c r="AU166" s="72">
        <f t="shared" si="212"/>
        <v>0</v>
      </c>
      <c r="AV166" s="72">
        <f t="shared" si="213"/>
        <v>0</v>
      </c>
      <c r="AW166" s="72">
        <f t="shared" si="214"/>
        <v>0</v>
      </c>
      <c r="AX166" s="72">
        <f t="shared" si="215"/>
        <v>0</v>
      </c>
      <c r="AY166" s="72">
        <f t="shared" si="216"/>
        <v>0</v>
      </c>
      <c r="AZ166" s="72">
        <f t="shared" si="217"/>
        <v>0</v>
      </c>
      <c r="BA166" s="72">
        <f t="shared" si="218"/>
        <v>0</v>
      </c>
      <c r="BB166" s="72">
        <f t="shared" si="219"/>
        <v>0</v>
      </c>
      <c r="BC166" s="72">
        <f t="shared" si="220"/>
        <v>0</v>
      </c>
      <c r="BD166" s="72">
        <f t="shared" si="221"/>
        <v>0</v>
      </c>
      <c r="BE166" s="72">
        <f t="shared" si="222"/>
        <v>0</v>
      </c>
      <c r="BF166" s="72">
        <f t="shared" si="223"/>
        <v>0</v>
      </c>
    </row>
    <row r="167" spans="1:58" x14ac:dyDescent="0.25">
      <c r="A167" s="34" t="s">
        <v>420</v>
      </c>
      <c r="B167" s="1" t="e">
        <f t="shared" si="196"/>
        <v>#N/A</v>
      </c>
      <c r="C167" s="1"/>
      <c r="D167" s="1"/>
      <c r="E167" t="s">
        <v>282</v>
      </c>
      <c r="G167" s="1" t="s">
        <v>208</v>
      </c>
      <c r="H167" s="95"/>
      <c r="AC167" s="1">
        <f>SUM(I167:INDEX(I167:AB167,Level))+H167</f>
        <v>0</v>
      </c>
      <c r="AD167" s="45">
        <f t="shared" si="197"/>
        <v>-30</v>
      </c>
      <c r="AE167" s="45" cm="1">
        <f t="array" aca="1" ref="AE167" ca="1">IF(G167="NA",0,INDIRECT(LEFT(G167,2))+INDIRECT(MID(G167,4,2))+INDIRECT(RIGHT(G167,2)))</f>
        <v>0</v>
      </c>
      <c r="AF167" s="45">
        <f t="shared" si="201"/>
        <v>0</v>
      </c>
      <c r="AG167" s="45">
        <f t="shared" si="202"/>
        <v>0</v>
      </c>
      <c r="AH167" s="45"/>
      <c r="AI167" s="51">
        <f t="shared" ca="1" si="203"/>
        <v>-30</v>
      </c>
      <c r="AM167" s="72">
        <f t="shared" si="204"/>
        <v>0</v>
      </c>
      <c r="AN167" s="72">
        <f t="shared" si="205"/>
        <v>0</v>
      </c>
      <c r="AO167" s="72">
        <f t="shared" si="206"/>
        <v>0</v>
      </c>
      <c r="AP167" s="72">
        <f t="shared" si="207"/>
        <v>0</v>
      </c>
      <c r="AQ167" s="72">
        <f t="shared" si="208"/>
        <v>0</v>
      </c>
      <c r="AR167" s="72">
        <f t="shared" si="209"/>
        <v>0</v>
      </c>
      <c r="AS167" s="72">
        <f t="shared" si="210"/>
        <v>0</v>
      </c>
      <c r="AT167" s="72">
        <f t="shared" si="211"/>
        <v>0</v>
      </c>
      <c r="AU167" s="72">
        <f t="shared" si="212"/>
        <v>0</v>
      </c>
      <c r="AV167" s="72">
        <f t="shared" si="213"/>
        <v>0</v>
      </c>
      <c r="AW167" s="72">
        <f t="shared" si="214"/>
        <v>0</v>
      </c>
      <c r="AX167" s="72">
        <f t="shared" si="215"/>
        <v>0</v>
      </c>
      <c r="AY167" s="72">
        <f t="shared" si="216"/>
        <v>0</v>
      </c>
      <c r="AZ167" s="72">
        <f t="shared" si="217"/>
        <v>0</v>
      </c>
      <c r="BA167" s="72">
        <f t="shared" si="218"/>
        <v>0</v>
      </c>
      <c r="BB167" s="72">
        <f t="shared" si="219"/>
        <v>0</v>
      </c>
      <c r="BC167" s="72">
        <f t="shared" si="220"/>
        <v>0</v>
      </c>
      <c r="BD167" s="72">
        <f t="shared" si="221"/>
        <v>0</v>
      </c>
      <c r="BE167" s="72">
        <f t="shared" si="222"/>
        <v>0</v>
      </c>
      <c r="BF167" s="72">
        <f t="shared" si="223"/>
        <v>0</v>
      </c>
    </row>
    <row r="168" spans="1:58" x14ac:dyDescent="0.25">
      <c r="A168" s="34" t="s">
        <v>420</v>
      </c>
      <c r="B168" s="1" t="e">
        <f t="shared" si="196"/>
        <v>#N/A</v>
      </c>
      <c r="C168" s="1"/>
      <c r="D168" s="1"/>
      <c r="E168" t="s">
        <v>282</v>
      </c>
      <c r="G168" s="1" t="s">
        <v>208</v>
      </c>
      <c r="H168" s="95"/>
      <c r="AC168" s="1">
        <f>SUM(I168:INDEX(I168:AB168,Level))+H168</f>
        <v>0</v>
      </c>
      <c r="AD168" s="45">
        <f t="shared" si="197"/>
        <v>-30</v>
      </c>
      <c r="AE168" s="45" cm="1">
        <f t="array" aca="1" ref="AE168" ca="1">IF(G168="NA",0,INDIRECT(LEFT(G168,2))+INDIRECT(MID(G168,4,2))+INDIRECT(RIGHT(G168,2)))</f>
        <v>0</v>
      </c>
      <c r="AF168" s="45">
        <f t="shared" si="201"/>
        <v>0</v>
      </c>
      <c r="AG168" s="45">
        <f t="shared" si="202"/>
        <v>0</v>
      </c>
      <c r="AH168" s="45"/>
      <c r="AI168" s="51">
        <f t="shared" ca="1" si="203"/>
        <v>-30</v>
      </c>
      <c r="AM168" s="72">
        <f t="shared" si="204"/>
        <v>0</v>
      </c>
      <c r="AN168" s="72">
        <f t="shared" si="205"/>
        <v>0</v>
      </c>
      <c r="AO168" s="72">
        <f t="shared" si="206"/>
        <v>0</v>
      </c>
      <c r="AP168" s="72">
        <f t="shared" si="207"/>
        <v>0</v>
      </c>
      <c r="AQ168" s="72">
        <f t="shared" si="208"/>
        <v>0</v>
      </c>
      <c r="AR168" s="72">
        <f t="shared" si="209"/>
        <v>0</v>
      </c>
      <c r="AS168" s="72">
        <f t="shared" si="210"/>
        <v>0</v>
      </c>
      <c r="AT168" s="72">
        <f t="shared" si="211"/>
        <v>0</v>
      </c>
      <c r="AU168" s="72">
        <f t="shared" si="212"/>
        <v>0</v>
      </c>
      <c r="AV168" s="72">
        <f t="shared" si="213"/>
        <v>0</v>
      </c>
      <c r="AW168" s="72">
        <f t="shared" si="214"/>
        <v>0</v>
      </c>
      <c r="AX168" s="72">
        <f t="shared" si="215"/>
        <v>0</v>
      </c>
      <c r="AY168" s="72">
        <f t="shared" si="216"/>
        <v>0</v>
      </c>
      <c r="AZ168" s="72">
        <f t="shared" si="217"/>
        <v>0</v>
      </c>
      <c r="BA168" s="72">
        <f t="shared" si="218"/>
        <v>0</v>
      </c>
      <c r="BB168" s="72">
        <f t="shared" si="219"/>
        <v>0</v>
      </c>
      <c r="BC168" s="72">
        <f t="shared" si="220"/>
        <v>0</v>
      </c>
      <c r="BD168" s="72">
        <f t="shared" si="221"/>
        <v>0</v>
      </c>
      <c r="BE168" s="72">
        <f t="shared" si="222"/>
        <v>0</v>
      </c>
      <c r="BF168" s="72">
        <f t="shared" si="223"/>
        <v>0</v>
      </c>
    </row>
    <row r="169" spans="1:58" x14ac:dyDescent="0.25">
      <c r="A169" s="34" t="s">
        <v>420</v>
      </c>
      <c r="B169" s="1" t="e">
        <f t="shared" si="196"/>
        <v>#N/A</v>
      </c>
      <c r="C169" s="1"/>
      <c r="D169" s="1"/>
      <c r="E169" t="s">
        <v>281</v>
      </c>
      <c r="F169" s="77" t="s">
        <v>421</v>
      </c>
      <c r="G169" s="1" t="s">
        <v>208</v>
      </c>
      <c r="H169" s="95"/>
      <c r="AC169" s="1">
        <f>SUM(I169:INDEX(I169:AB169,Level))+H169</f>
        <v>0</v>
      </c>
      <c r="AD169" s="45">
        <f t="shared" si="197"/>
        <v>-35</v>
      </c>
      <c r="AE169" s="45" cm="1">
        <f t="array" aca="1" ref="AE169" ca="1">IF(G169="NA",0,INDIRECT(LEFT(G169,2))+INDIRECT(MID(G169,4,2))+INDIRECT(RIGHT(G169,2)))</f>
        <v>0</v>
      </c>
      <c r="AF169" s="45">
        <f t="shared" si="201"/>
        <v>0</v>
      </c>
      <c r="AG169" s="45">
        <f t="shared" si="202"/>
        <v>0</v>
      </c>
      <c r="AH169" s="45"/>
      <c r="AI169" s="51">
        <f t="shared" ca="1" si="203"/>
        <v>-35</v>
      </c>
      <c r="AM169" s="72">
        <f t="shared" si="204"/>
        <v>0</v>
      </c>
      <c r="AN169" s="72">
        <f t="shared" si="205"/>
        <v>0</v>
      </c>
      <c r="AO169" s="72">
        <f t="shared" si="206"/>
        <v>0</v>
      </c>
      <c r="AP169" s="72">
        <f t="shared" si="207"/>
        <v>0</v>
      </c>
      <c r="AQ169" s="72">
        <f t="shared" si="208"/>
        <v>0</v>
      </c>
      <c r="AR169" s="72">
        <f t="shared" si="209"/>
        <v>0</v>
      </c>
      <c r="AS169" s="72">
        <f t="shared" si="210"/>
        <v>0</v>
      </c>
      <c r="AT169" s="72">
        <f t="shared" si="211"/>
        <v>0</v>
      </c>
      <c r="AU169" s="72">
        <f t="shared" si="212"/>
        <v>0</v>
      </c>
      <c r="AV169" s="72">
        <f t="shared" si="213"/>
        <v>0</v>
      </c>
      <c r="AW169" s="72">
        <f t="shared" si="214"/>
        <v>0</v>
      </c>
      <c r="AX169" s="72">
        <f t="shared" si="215"/>
        <v>0</v>
      </c>
      <c r="AY169" s="72">
        <f t="shared" si="216"/>
        <v>0</v>
      </c>
      <c r="AZ169" s="72">
        <f t="shared" si="217"/>
        <v>0</v>
      </c>
      <c r="BA169" s="72">
        <f t="shared" si="218"/>
        <v>0</v>
      </c>
      <c r="BB169" s="72">
        <f t="shared" si="219"/>
        <v>0</v>
      </c>
      <c r="BC169" s="72">
        <f t="shared" si="220"/>
        <v>0</v>
      </c>
      <c r="BD169" s="72">
        <f t="shared" si="221"/>
        <v>0</v>
      </c>
      <c r="BE169" s="72">
        <f t="shared" si="222"/>
        <v>0</v>
      </c>
      <c r="BF169" s="72">
        <f t="shared" si="223"/>
        <v>0</v>
      </c>
    </row>
    <row r="170" spans="1:58" x14ac:dyDescent="0.25">
      <c r="A170" s="34" t="s">
        <v>420</v>
      </c>
      <c r="B170" s="1" t="e">
        <f t="shared" si="196"/>
        <v>#N/A</v>
      </c>
      <c r="C170" s="1"/>
      <c r="D170" s="1"/>
      <c r="E170" t="s">
        <v>281</v>
      </c>
      <c r="F170" s="77" t="s">
        <v>422</v>
      </c>
      <c r="G170" s="1" t="s">
        <v>208</v>
      </c>
      <c r="H170" s="95"/>
      <c r="AC170" s="1">
        <f>SUM(I170:INDEX(I170:AB170,Level))+H170</f>
        <v>0</v>
      </c>
      <c r="AD170" s="45">
        <f t="shared" si="197"/>
        <v>-35</v>
      </c>
      <c r="AE170" s="45" cm="1">
        <f t="array" aca="1" ref="AE170" ca="1">IF(G170="NA",0,INDIRECT(LEFT(G170,2))+INDIRECT(MID(G170,4,2))+INDIRECT(RIGHT(G170,2)))</f>
        <v>0</v>
      </c>
      <c r="AF170" s="45">
        <f t="shared" si="201"/>
        <v>0</v>
      </c>
      <c r="AG170" s="45">
        <f t="shared" si="202"/>
        <v>0</v>
      </c>
      <c r="AH170" s="45"/>
      <c r="AI170" s="51">
        <f t="shared" ca="1" si="203"/>
        <v>-35</v>
      </c>
      <c r="AM170" s="72">
        <f t="shared" si="204"/>
        <v>0</v>
      </c>
      <c r="AN170" s="72">
        <f t="shared" si="205"/>
        <v>0</v>
      </c>
      <c r="AO170" s="72">
        <f t="shared" si="206"/>
        <v>0</v>
      </c>
      <c r="AP170" s="72">
        <f t="shared" si="207"/>
        <v>0</v>
      </c>
      <c r="AQ170" s="72">
        <f t="shared" si="208"/>
        <v>0</v>
      </c>
      <c r="AR170" s="72">
        <f t="shared" si="209"/>
        <v>0</v>
      </c>
      <c r="AS170" s="72">
        <f t="shared" si="210"/>
        <v>0</v>
      </c>
      <c r="AT170" s="72">
        <f t="shared" si="211"/>
        <v>0</v>
      </c>
      <c r="AU170" s="72">
        <f t="shared" si="212"/>
        <v>0</v>
      </c>
      <c r="AV170" s="72">
        <f t="shared" si="213"/>
        <v>0</v>
      </c>
      <c r="AW170" s="72">
        <f t="shared" si="214"/>
        <v>0</v>
      </c>
      <c r="AX170" s="72">
        <f t="shared" si="215"/>
        <v>0</v>
      </c>
      <c r="AY170" s="72">
        <f t="shared" si="216"/>
        <v>0</v>
      </c>
      <c r="AZ170" s="72">
        <f t="shared" si="217"/>
        <v>0</v>
      </c>
      <c r="BA170" s="72">
        <f t="shared" si="218"/>
        <v>0</v>
      </c>
      <c r="BB170" s="72">
        <f t="shared" si="219"/>
        <v>0</v>
      </c>
      <c r="BC170" s="72">
        <f t="shared" si="220"/>
        <v>0</v>
      </c>
      <c r="BD170" s="72">
        <f t="shared" si="221"/>
        <v>0</v>
      </c>
      <c r="BE170" s="72">
        <f t="shared" si="222"/>
        <v>0</v>
      </c>
      <c r="BF170" s="72">
        <f t="shared" si="223"/>
        <v>0</v>
      </c>
    </row>
    <row r="171" spans="1:58" x14ac:dyDescent="0.25">
      <c r="A171" s="34" t="s">
        <v>420</v>
      </c>
      <c r="B171" s="1" t="e">
        <f t="shared" si="196"/>
        <v>#N/A</v>
      </c>
      <c r="C171" s="1"/>
      <c r="D171" s="1"/>
      <c r="E171" t="s">
        <v>281</v>
      </c>
      <c r="F171" s="77" t="s">
        <v>423</v>
      </c>
      <c r="G171" s="1" t="s">
        <v>208</v>
      </c>
      <c r="H171" s="95"/>
      <c r="AC171" s="1">
        <f>SUM(I171:INDEX(I171:AB171,Level))+H171</f>
        <v>0</v>
      </c>
      <c r="AD171" s="45">
        <f t="shared" si="197"/>
        <v>-35</v>
      </c>
      <c r="AE171" s="45" cm="1">
        <f t="array" aca="1" ref="AE171" ca="1">IF(G171="NA",0,INDIRECT(LEFT(G171,2))+INDIRECT(MID(G171,4,2))+INDIRECT(RIGHT(G171,2)))</f>
        <v>0</v>
      </c>
      <c r="AF171" s="45">
        <f t="shared" si="201"/>
        <v>0</v>
      </c>
      <c r="AG171" s="45">
        <f t="shared" si="202"/>
        <v>0</v>
      </c>
      <c r="AH171" s="45"/>
      <c r="AI171" s="51">
        <f t="shared" ca="1" si="203"/>
        <v>-35</v>
      </c>
      <c r="AM171" s="72">
        <f t="shared" si="204"/>
        <v>0</v>
      </c>
      <c r="AN171" s="72">
        <f t="shared" si="205"/>
        <v>0</v>
      </c>
      <c r="AO171" s="72">
        <f t="shared" si="206"/>
        <v>0</v>
      </c>
      <c r="AP171" s="72">
        <f t="shared" si="207"/>
        <v>0</v>
      </c>
      <c r="AQ171" s="72">
        <f t="shared" si="208"/>
        <v>0</v>
      </c>
      <c r="AR171" s="72">
        <f t="shared" si="209"/>
        <v>0</v>
      </c>
      <c r="AS171" s="72">
        <f t="shared" si="210"/>
        <v>0</v>
      </c>
      <c r="AT171" s="72">
        <f t="shared" si="211"/>
        <v>0</v>
      </c>
      <c r="AU171" s="72">
        <f t="shared" si="212"/>
        <v>0</v>
      </c>
      <c r="AV171" s="72">
        <f t="shared" si="213"/>
        <v>0</v>
      </c>
      <c r="AW171" s="72">
        <f t="shared" si="214"/>
        <v>0</v>
      </c>
      <c r="AX171" s="72">
        <f t="shared" si="215"/>
        <v>0</v>
      </c>
      <c r="AY171" s="72">
        <f t="shared" si="216"/>
        <v>0</v>
      </c>
      <c r="AZ171" s="72">
        <f t="shared" si="217"/>
        <v>0</v>
      </c>
      <c r="BA171" s="72">
        <f t="shared" si="218"/>
        <v>0</v>
      </c>
      <c r="BB171" s="72">
        <f t="shared" si="219"/>
        <v>0</v>
      </c>
      <c r="BC171" s="72">
        <f t="shared" si="220"/>
        <v>0</v>
      </c>
      <c r="BD171" s="72">
        <f t="shared" si="221"/>
        <v>0</v>
      </c>
      <c r="BE171" s="72">
        <f t="shared" si="222"/>
        <v>0</v>
      </c>
      <c r="BF171" s="72">
        <f t="shared" si="223"/>
        <v>0</v>
      </c>
    </row>
    <row r="172" spans="1:58" x14ac:dyDescent="0.25">
      <c r="A172" s="34" t="s">
        <v>420</v>
      </c>
      <c r="B172" s="1" t="e">
        <f t="shared" si="196"/>
        <v>#N/A</v>
      </c>
      <c r="C172" s="1"/>
      <c r="D172" s="1"/>
      <c r="E172" t="s">
        <v>281</v>
      </c>
      <c r="F172" s="77" t="s">
        <v>424</v>
      </c>
      <c r="G172" s="1" t="s">
        <v>208</v>
      </c>
      <c r="H172" s="95"/>
      <c r="AC172" s="1">
        <f>SUM(I172:INDEX(I172:AB172,Level))+H172</f>
        <v>0</v>
      </c>
      <c r="AD172" s="45">
        <f t="shared" si="197"/>
        <v>-35</v>
      </c>
      <c r="AE172" s="45" cm="1">
        <f t="array" aca="1" ref="AE172" ca="1">IF(G172="NA",0,INDIRECT(LEFT(G172,2))+INDIRECT(MID(G172,4,2))+INDIRECT(RIGHT(G172,2)))</f>
        <v>0</v>
      </c>
      <c r="AF172" s="45">
        <f t="shared" si="201"/>
        <v>0</v>
      </c>
      <c r="AG172" s="45">
        <f t="shared" si="202"/>
        <v>0</v>
      </c>
      <c r="AH172" s="45"/>
      <c r="AI172" s="51">
        <f t="shared" ca="1" si="203"/>
        <v>-35</v>
      </c>
      <c r="AM172" s="72">
        <f t="shared" si="204"/>
        <v>0</v>
      </c>
      <c r="AN172" s="72">
        <f t="shared" si="205"/>
        <v>0</v>
      </c>
      <c r="AO172" s="72">
        <f t="shared" si="206"/>
        <v>0</v>
      </c>
      <c r="AP172" s="72">
        <f t="shared" si="207"/>
        <v>0</v>
      </c>
      <c r="AQ172" s="72">
        <f t="shared" si="208"/>
        <v>0</v>
      </c>
      <c r="AR172" s="72">
        <f t="shared" si="209"/>
        <v>0</v>
      </c>
      <c r="AS172" s="72">
        <f t="shared" si="210"/>
        <v>0</v>
      </c>
      <c r="AT172" s="72">
        <f t="shared" si="211"/>
        <v>0</v>
      </c>
      <c r="AU172" s="72">
        <f t="shared" si="212"/>
        <v>0</v>
      </c>
      <c r="AV172" s="72">
        <f t="shared" si="213"/>
        <v>0</v>
      </c>
      <c r="AW172" s="72">
        <f t="shared" si="214"/>
        <v>0</v>
      </c>
      <c r="AX172" s="72">
        <f t="shared" si="215"/>
        <v>0</v>
      </c>
      <c r="AY172" s="72">
        <f t="shared" si="216"/>
        <v>0</v>
      </c>
      <c r="AZ172" s="72">
        <f t="shared" si="217"/>
        <v>0</v>
      </c>
      <c r="BA172" s="72">
        <f t="shared" si="218"/>
        <v>0</v>
      </c>
      <c r="BB172" s="72">
        <f t="shared" si="219"/>
        <v>0</v>
      </c>
      <c r="BC172" s="72">
        <f t="shared" si="220"/>
        <v>0</v>
      </c>
      <c r="BD172" s="72">
        <f t="shared" si="221"/>
        <v>0</v>
      </c>
      <c r="BE172" s="72">
        <f t="shared" si="222"/>
        <v>0</v>
      </c>
      <c r="BF172" s="72">
        <f t="shared" si="223"/>
        <v>0</v>
      </c>
    </row>
    <row r="173" spans="1:58" x14ac:dyDescent="0.25">
      <c r="A173" s="34" t="s">
        <v>420</v>
      </c>
      <c r="B173" s="1" t="e">
        <f t="shared" si="196"/>
        <v>#N/A</v>
      </c>
      <c r="C173" s="1"/>
      <c r="D173" s="1"/>
      <c r="E173" t="s">
        <v>281</v>
      </c>
      <c r="F173" s="77" t="s">
        <v>425</v>
      </c>
      <c r="G173" s="1" t="s">
        <v>208</v>
      </c>
      <c r="H173" s="95"/>
      <c r="AC173" s="1">
        <f>SUM(I173:INDEX(I173:AB173,Level))+H173</f>
        <v>0</v>
      </c>
      <c r="AD173" s="45">
        <f t="shared" si="197"/>
        <v>-35</v>
      </c>
      <c r="AE173" s="45" cm="1">
        <f t="array" aca="1" ref="AE173" ca="1">IF(G173="NA",0,INDIRECT(LEFT(G173,2))+INDIRECT(MID(G173,4,2))+INDIRECT(RIGHT(G173,2)))</f>
        <v>0</v>
      </c>
      <c r="AF173" s="45">
        <f t="shared" si="201"/>
        <v>0</v>
      </c>
      <c r="AG173" s="45">
        <f t="shared" si="202"/>
        <v>0</v>
      </c>
      <c r="AH173" s="45"/>
      <c r="AI173" s="51">
        <f t="shared" ca="1" si="203"/>
        <v>-35</v>
      </c>
      <c r="AM173" s="72">
        <f t="shared" si="204"/>
        <v>0</v>
      </c>
      <c r="AN173" s="72">
        <f t="shared" si="205"/>
        <v>0</v>
      </c>
      <c r="AO173" s="72">
        <f t="shared" si="206"/>
        <v>0</v>
      </c>
      <c r="AP173" s="72">
        <f t="shared" si="207"/>
        <v>0</v>
      </c>
      <c r="AQ173" s="72">
        <f t="shared" si="208"/>
        <v>0</v>
      </c>
      <c r="AR173" s="72">
        <f t="shared" si="209"/>
        <v>0</v>
      </c>
      <c r="AS173" s="72">
        <f t="shared" si="210"/>
        <v>0</v>
      </c>
      <c r="AT173" s="72">
        <f t="shared" si="211"/>
        <v>0</v>
      </c>
      <c r="AU173" s="72">
        <f t="shared" si="212"/>
        <v>0</v>
      </c>
      <c r="AV173" s="72">
        <f t="shared" si="213"/>
        <v>0</v>
      </c>
      <c r="AW173" s="72">
        <f t="shared" si="214"/>
        <v>0</v>
      </c>
      <c r="AX173" s="72">
        <f t="shared" si="215"/>
        <v>0</v>
      </c>
      <c r="AY173" s="72">
        <f t="shared" si="216"/>
        <v>0</v>
      </c>
      <c r="AZ173" s="72">
        <f t="shared" si="217"/>
        <v>0</v>
      </c>
      <c r="BA173" s="72">
        <f t="shared" si="218"/>
        <v>0</v>
      </c>
      <c r="BB173" s="72">
        <f t="shared" si="219"/>
        <v>0</v>
      </c>
      <c r="BC173" s="72">
        <f t="shared" si="220"/>
        <v>0</v>
      </c>
      <c r="BD173" s="72">
        <f t="shared" si="221"/>
        <v>0</v>
      </c>
      <c r="BE173" s="72">
        <f t="shared" si="222"/>
        <v>0</v>
      </c>
      <c r="BF173" s="72">
        <f t="shared" si="223"/>
        <v>0</v>
      </c>
    </row>
    <row r="174" spans="1:58" x14ac:dyDescent="0.25">
      <c r="A174" s="34" t="s">
        <v>420</v>
      </c>
      <c r="B174" s="1" t="e">
        <f t="shared" si="196"/>
        <v>#N/A</v>
      </c>
      <c r="C174" s="1"/>
      <c r="D174" s="1"/>
      <c r="E174" t="s">
        <v>281</v>
      </c>
      <c r="F174" s="77" t="s">
        <v>426</v>
      </c>
      <c r="G174" s="1" t="s">
        <v>208</v>
      </c>
      <c r="H174" s="95"/>
      <c r="AC174" s="1">
        <f>SUM(I174:INDEX(I174:AB174,Level))+H174</f>
        <v>0</v>
      </c>
      <c r="AD174" s="45">
        <f t="shared" si="197"/>
        <v>-35</v>
      </c>
      <c r="AE174" s="45" cm="1">
        <f t="array" aca="1" ref="AE174" ca="1">IF(G174="NA",0,INDIRECT(LEFT(G174,2))+INDIRECT(MID(G174,4,2))+INDIRECT(RIGHT(G174,2)))</f>
        <v>0</v>
      </c>
      <c r="AF174" s="45">
        <f t="shared" si="201"/>
        <v>0</v>
      </c>
      <c r="AG174" s="45">
        <f t="shared" si="202"/>
        <v>0</v>
      </c>
      <c r="AH174" s="45"/>
      <c r="AI174" s="51">
        <f t="shared" ca="1" si="203"/>
        <v>-35</v>
      </c>
      <c r="AM174" s="72">
        <f t="shared" si="204"/>
        <v>0</v>
      </c>
      <c r="AN174" s="72">
        <f t="shared" si="205"/>
        <v>0</v>
      </c>
      <c r="AO174" s="72">
        <f t="shared" si="206"/>
        <v>0</v>
      </c>
      <c r="AP174" s="72">
        <f t="shared" si="207"/>
        <v>0</v>
      </c>
      <c r="AQ174" s="72">
        <f t="shared" si="208"/>
        <v>0</v>
      </c>
      <c r="AR174" s="72">
        <f t="shared" si="209"/>
        <v>0</v>
      </c>
      <c r="AS174" s="72">
        <f t="shared" si="210"/>
        <v>0</v>
      </c>
      <c r="AT174" s="72">
        <f t="shared" si="211"/>
        <v>0</v>
      </c>
      <c r="AU174" s="72">
        <f t="shared" si="212"/>
        <v>0</v>
      </c>
      <c r="AV174" s="72">
        <f t="shared" si="213"/>
        <v>0</v>
      </c>
      <c r="AW174" s="72">
        <f t="shared" si="214"/>
        <v>0</v>
      </c>
      <c r="AX174" s="72">
        <f t="shared" si="215"/>
        <v>0</v>
      </c>
      <c r="AY174" s="72">
        <f t="shared" si="216"/>
        <v>0</v>
      </c>
      <c r="AZ174" s="72">
        <f t="shared" si="217"/>
        <v>0</v>
      </c>
      <c r="BA174" s="72">
        <f t="shared" si="218"/>
        <v>0</v>
      </c>
      <c r="BB174" s="72">
        <f t="shared" si="219"/>
        <v>0</v>
      </c>
      <c r="BC174" s="72">
        <f t="shared" si="220"/>
        <v>0</v>
      </c>
      <c r="BD174" s="72">
        <f t="shared" si="221"/>
        <v>0</v>
      </c>
      <c r="BE174" s="72">
        <f t="shared" si="222"/>
        <v>0</v>
      </c>
      <c r="BF174" s="72">
        <f t="shared" si="223"/>
        <v>0</v>
      </c>
    </row>
    <row r="175" spans="1:58" x14ac:dyDescent="0.25">
      <c r="A175" s="34" t="s">
        <v>420</v>
      </c>
      <c r="B175" s="1" t="e">
        <f t="shared" si="196"/>
        <v>#N/A</v>
      </c>
      <c r="C175" s="1"/>
      <c r="D175" s="1"/>
      <c r="E175" t="s">
        <v>281</v>
      </c>
      <c r="F175" s="77" t="s">
        <v>427</v>
      </c>
      <c r="G175" s="1" t="s">
        <v>208</v>
      </c>
      <c r="H175" s="95"/>
      <c r="AC175" s="1">
        <f>SUM(I175:INDEX(I175:AB175,Level))+H175</f>
        <v>0</v>
      </c>
      <c r="AD175" s="45">
        <f t="shared" si="197"/>
        <v>-35</v>
      </c>
      <c r="AE175" s="45" cm="1">
        <f t="array" aca="1" ref="AE175" ca="1">IF(G175="NA",0,INDIRECT(LEFT(G175,2))+INDIRECT(MID(G175,4,2))+INDIRECT(RIGHT(G175,2)))</f>
        <v>0</v>
      </c>
      <c r="AF175" s="45">
        <f t="shared" si="201"/>
        <v>0</v>
      </c>
      <c r="AG175" s="45">
        <f t="shared" si="202"/>
        <v>0</v>
      </c>
      <c r="AH175" s="45"/>
      <c r="AI175" s="51">
        <f t="shared" ca="1" si="203"/>
        <v>-35</v>
      </c>
      <c r="AM175" s="72">
        <f t="shared" si="204"/>
        <v>0</v>
      </c>
      <c r="AN175" s="72">
        <f t="shared" si="205"/>
        <v>0</v>
      </c>
      <c r="AO175" s="72">
        <f t="shared" si="206"/>
        <v>0</v>
      </c>
      <c r="AP175" s="72">
        <f t="shared" si="207"/>
        <v>0</v>
      </c>
      <c r="AQ175" s="72">
        <f t="shared" si="208"/>
        <v>0</v>
      </c>
      <c r="AR175" s="72">
        <f t="shared" si="209"/>
        <v>0</v>
      </c>
      <c r="AS175" s="72">
        <f t="shared" si="210"/>
        <v>0</v>
      </c>
      <c r="AT175" s="72">
        <f t="shared" si="211"/>
        <v>0</v>
      </c>
      <c r="AU175" s="72">
        <f t="shared" si="212"/>
        <v>0</v>
      </c>
      <c r="AV175" s="72">
        <f t="shared" si="213"/>
        <v>0</v>
      </c>
      <c r="AW175" s="72">
        <f t="shared" si="214"/>
        <v>0</v>
      </c>
      <c r="AX175" s="72">
        <f t="shared" si="215"/>
        <v>0</v>
      </c>
      <c r="AY175" s="72">
        <f t="shared" si="216"/>
        <v>0</v>
      </c>
      <c r="AZ175" s="72">
        <f t="shared" si="217"/>
        <v>0</v>
      </c>
      <c r="BA175" s="72">
        <f t="shared" si="218"/>
        <v>0</v>
      </c>
      <c r="BB175" s="72">
        <f t="shared" si="219"/>
        <v>0</v>
      </c>
      <c r="BC175" s="72">
        <f t="shared" si="220"/>
        <v>0</v>
      </c>
      <c r="BD175" s="72">
        <f t="shared" si="221"/>
        <v>0</v>
      </c>
      <c r="BE175" s="72">
        <f t="shared" si="222"/>
        <v>0</v>
      </c>
      <c r="BF175" s="72">
        <f t="shared" si="223"/>
        <v>0</v>
      </c>
    </row>
    <row r="176" spans="1:58" ht="15.75" thickBot="1" x14ac:dyDescent="0.3">
      <c r="A176" s="38" t="s">
        <v>420</v>
      </c>
      <c r="B176" s="43" t="e">
        <f t="shared" si="196"/>
        <v>#N/A</v>
      </c>
      <c r="C176" s="43"/>
      <c r="D176" s="43"/>
      <c r="E176" s="75" t="s">
        <v>281</v>
      </c>
      <c r="F176" s="78" t="s">
        <v>428</v>
      </c>
      <c r="G176" s="43" t="s">
        <v>208</v>
      </c>
      <c r="H176" s="96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>
        <f>SUM(I176:INDEX(I176:AB176,Level))+H176</f>
        <v>0</v>
      </c>
      <c r="AD176" s="46">
        <f t="shared" si="197"/>
        <v>-35</v>
      </c>
      <c r="AE176" s="46" cm="1">
        <f t="array" aca="1" ref="AE176" ca="1">IF(G176="NA",0,INDIRECT(LEFT(G176,2))+INDIRECT(MID(G176,4,2))+INDIRECT(RIGHT(G176,2)))</f>
        <v>0</v>
      </c>
      <c r="AF176" s="46">
        <f t="shared" si="201"/>
        <v>0</v>
      </c>
      <c r="AG176" s="46">
        <f t="shared" si="202"/>
        <v>0</v>
      </c>
      <c r="AH176" s="46"/>
      <c r="AI176" s="53">
        <f t="shared" ca="1" si="203"/>
        <v>-35</v>
      </c>
      <c r="AM176" s="72">
        <f t="shared" si="204"/>
        <v>0</v>
      </c>
      <c r="AN176" s="72">
        <f t="shared" si="205"/>
        <v>0</v>
      </c>
      <c r="AO176" s="72">
        <f t="shared" si="206"/>
        <v>0</v>
      </c>
      <c r="AP176" s="72">
        <f t="shared" si="207"/>
        <v>0</v>
      </c>
      <c r="AQ176" s="72">
        <f t="shared" si="208"/>
        <v>0</v>
      </c>
      <c r="AR176" s="72">
        <f t="shared" si="209"/>
        <v>0</v>
      </c>
      <c r="AS176" s="72">
        <f t="shared" si="210"/>
        <v>0</v>
      </c>
      <c r="AT176" s="72">
        <f t="shared" si="211"/>
        <v>0</v>
      </c>
      <c r="AU176" s="72">
        <f t="shared" si="212"/>
        <v>0</v>
      </c>
      <c r="AV176" s="72">
        <f t="shared" si="213"/>
        <v>0</v>
      </c>
      <c r="AW176" s="72">
        <f t="shared" si="214"/>
        <v>0</v>
      </c>
      <c r="AX176" s="72">
        <f t="shared" si="215"/>
        <v>0</v>
      </c>
      <c r="AY176" s="72">
        <f t="shared" si="216"/>
        <v>0</v>
      </c>
      <c r="AZ176" s="72">
        <f t="shared" si="217"/>
        <v>0</v>
      </c>
      <c r="BA176" s="72">
        <f t="shared" si="218"/>
        <v>0</v>
      </c>
      <c r="BB176" s="72">
        <f t="shared" si="219"/>
        <v>0</v>
      </c>
      <c r="BC176" s="72">
        <f t="shared" si="220"/>
        <v>0</v>
      </c>
      <c r="BD176" s="72">
        <f t="shared" si="221"/>
        <v>0</v>
      </c>
      <c r="BE176" s="72">
        <f t="shared" si="222"/>
        <v>0</v>
      </c>
      <c r="BF176" s="72">
        <f t="shared" si="223"/>
        <v>0</v>
      </c>
    </row>
  </sheetData>
  <mergeCells count="7">
    <mergeCell ref="AM2:BF2"/>
    <mergeCell ref="F3:H3"/>
    <mergeCell ref="F4:H4"/>
    <mergeCell ref="A1:AI1"/>
    <mergeCell ref="A141:AI141"/>
    <mergeCell ref="A140:AI140"/>
    <mergeCell ref="I2:AB2"/>
  </mergeCells>
  <printOptions horizontalCentered="1" gridLines="1"/>
  <pageMargins left="0.25" right="0.25" top="0.25" bottom="0.25" header="0.3" footer="0.3"/>
  <pageSetup scale="52" fitToHeight="4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E2148-70F2-4E83-86E7-4906DD8567EC}">
  <sheetPr>
    <pageSetUpPr fitToPage="1"/>
  </sheetPr>
  <dimension ref="A1:P63"/>
  <sheetViews>
    <sheetView workbookViewId="0">
      <selection activeCell="P63" sqref="P63"/>
    </sheetView>
  </sheetViews>
  <sheetFormatPr defaultRowHeight="15" x14ac:dyDescent="0.25"/>
  <sheetData>
    <row r="1" spans="1:16" ht="62.25" x14ac:dyDescent="0.95">
      <c r="A1" s="335" t="s">
        <v>452</v>
      </c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  <c r="P1" s="337"/>
    </row>
    <row r="2" spans="1:16" x14ac:dyDescent="0.25">
      <c r="A2" s="11" t="s">
        <v>439</v>
      </c>
      <c r="B2" s="3" t="s">
        <v>440</v>
      </c>
      <c r="C2" s="3" t="s">
        <v>12</v>
      </c>
      <c r="D2" s="242" t="s">
        <v>441</v>
      </c>
      <c r="E2" s="242"/>
      <c r="F2" s="242"/>
      <c r="G2" s="242"/>
      <c r="H2" s="100" t="s">
        <v>30</v>
      </c>
      <c r="I2" s="101" t="s">
        <v>439</v>
      </c>
      <c r="J2" s="3" t="s">
        <v>440</v>
      </c>
      <c r="K2" s="3" t="s">
        <v>12</v>
      </c>
      <c r="L2" s="242" t="s">
        <v>441</v>
      </c>
      <c r="M2" s="242"/>
      <c r="N2" s="242"/>
      <c r="O2" s="242"/>
      <c r="P2" s="9" t="s">
        <v>30</v>
      </c>
    </row>
    <row r="3" spans="1:16" x14ac:dyDescent="0.25">
      <c r="A3" s="11"/>
      <c r="B3" s="29">
        <v>1</v>
      </c>
      <c r="C3" s="105">
        <f>Front!Q30</f>
        <v>0.05</v>
      </c>
      <c r="D3" s="426" t="s">
        <v>505</v>
      </c>
      <c r="E3" s="426"/>
      <c r="F3" s="426"/>
      <c r="G3" s="426"/>
      <c r="H3" s="106" t="e">
        <f>C3*(VLOOKUP(Race,Table_Race,IF(Front!H5="Male",24,25),FALSE))</f>
        <v>#N/A</v>
      </c>
      <c r="I3" s="101"/>
      <c r="J3" s="3"/>
      <c r="K3" s="3"/>
      <c r="L3" s="242"/>
      <c r="M3" s="242"/>
      <c r="N3" s="242"/>
      <c r="O3" s="242"/>
      <c r="P3" s="110">
        <f>J3*K3</f>
        <v>0</v>
      </c>
    </row>
    <row r="4" spans="1:16" x14ac:dyDescent="0.25">
      <c r="A4" s="11"/>
      <c r="B4" s="29">
        <v>1</v>
      </c>
      <c r="C4" s="29">
        <f>VLOOKUP(Front!$C$31,Table_Armor_Shields,3,FALSE)</f>
        <v>0</v>
      </c>
      <c r="D4" s="426" t="str">
        <f>"Shield ("&amp;Front!C31&amp;")"</f>
        <v>Shield (None)</v>
      </c>
      <c r="E4" s="426"/>
      <c r="F4" s="426"/>
      <c r="G4" s="426"/>
      <c r="H4" s="106">
        <f>B4*C4</f>
        <v>0</v>
      </c>
      <c r="I4" s="101"/>
      <c r="J4" s="3"/>
      <c r="K4" s="3"/>
      <c r="L4" s="242"/>
      <c r="M4" s="242"/>
      <c r="N4" s="242"/>
      <c r="O4" s="242"/>
      <c r="P4" s="110">
        <f t="shared" ref="P4:P57" si="0">J4*K4</f>
        <v>0</v>
      </c>
    </row>
    <row r="5" spans="1:16" x14ac:dyDescent="0.25">
      <c r="A5" s="11"/>
      <c r="B5" s="3"/>
      <c r="C5" s="3"/>
      <c r="D5" s="242"/>
      <c r="E5" s="242"/>
      <c r="F5" s="242"/>
      <c r="G5" s="242"/>
      <c r="H5" s="104">
        <f t="shared" ref="H5:H63" si="1">B5*C5</f>
        <v>0</v>
      </c>
      <c r="I5" s="101"/>
      <c r="J5" s="3"/>
      <c r="K5" s="3"/>
      <c r="L5" s="242"/>
      <c r="M5" s="242"/>
      <c r="N5" s="242"/>
      <c r="O5" s="425"/>
      <c r="P5" s="110">
        <f t="shared" si="0"/>
        <v>0</v>
      </c>
    </row>
    <row r="6" spans="1:16" x14ac:dyDescent="0.25">
      <c r="A6" s="11"/>
      <c r="B6" s="3"/>
      <c r="C6" s="3"/>
      <c r="D6" s="242"/>
      <c r="E6" s="242"/>
      <c r="F6" s="242"/>
      <c r="G6" s="242"/>
      <c r="H6" s="104">
        <f t="shared" si="1"/>
        <v>0</v>
      </c>
      <c r="I6" s="101"/>
      <c r="J6" s="3"/>
      <c r="K6" s="3"/>
      <c r="L6" s="242"/>
      <c r="M6" s="242"/>
      <c r="N6" s="242"/>
      <c r="O6" s="242"/>
      <c r="P6" s="110">
        <f t="shared" si="0"/>
        <v>0</v>
      </c>
    </row>
    <row r="7" spans="1:16" x14ac:dyDescent="0.25">
      <c r="A7" s="11"/>
      <c r="B7" s="3"/>
      <c r="C7" s="3"/>
      <c r="D7" s="242"/>
      <c r="E7" s="242"/>
      <c r="F7" s="242"/>
      <c r="G7" s="242"/>
      <c r="H7" s="104">
        <f t="shared" si="1"/>
        <v>0</v>
      </c>
      <c r="I7" s="101"/>
      <c r="J7" s="3"/>
      <c r="K7" s="3"/>
      <c r="L7" s="242"/>
      <c r="M7" s="242"/>
      <c r="N7" s="242"/>
      <c r="O7" s="242"/>
      <c r="P7" s="110">
        <f t="shared" si="0"/>
        <v>0</v>
      </c>
    </row>
    <row r="8" spans="1:16" x14ac:dyDescent="0.25">
      <c r="A8" s="11"/>
      <c r="B8" s="3"/>
      <c r="C8" s="3"/>
      <c r="D8" s="242"/>
      <c r="E8" s="242"/>
      <c r="F8" s="242"/>
      <c r="G8" s="242"/>
      <c r="H8" s="104">
        <f t="shared" si="1"/>
        <v>0</v>
      </c>
      <c r="I8" s="101"/>
      <c r="J8" s="3"/>
      <c r="K8" s="3"/>
      <c r="L8" s="242"/>
      <c r="M8" s="242"/>
      <c r="N8" s="242"/>
      <c r="O8" s="242"/>
      <c r="P8" s="110">
        <f t="shared" si="0"/>
        <v>0</v>
      </c>
    </row>
    <row r="9" spans="1:16" x14ac:dyDescent="0.25">
      <c r="A9" s="11"/>
      <c r="B9" s="3"/>
      <c r="C9" s="3"/>
      <c r="D9" s="242"/>
      <c r="E9" s="242"/>
      <c r="F9" s="242"/>
      <c r="G9" s="242"/>
      <c r="H9" s="104">
        <f t="shared" si="1"/>
        <v>0</v>
      </c>
      <c r="I9" s="101"/>
      <c r="J9" s="3"/>
      <c r="K9" s="3"/>
      <c r="L9" s="242"/>
      <c r="M9" s="242"/>
      <c r="N9" s="242"/>
      <c r="O9" s="242"/>
      <c r="P9" s="110">
        <f t="shared" si="0"/>
        <v>0</v>
      </c>
    </row>
    <row r="10" spans="1:16" x14ac:dyDescent="0.25">
      <c r="A10" s="11"/>
      <c r="B10" s="3"/>
      <c r="C10" s="3"/>
      <c r="D10" s="242"/>
      <c r="E10" s="242"/>
      <c r="F10" s="242"/>
      <c r="G10" s="242"/>
      <c r="H10" s="104">
        <f t="shared" si="1"/>
        <v>0</v>
      </c>
      <c r="I10" s="101"/>
      <c r="J10" s="3"/>
      <c r="K10" s="3"/>
      <c r="L10" s="242"/>
      <c r="M10" s="242"/>
      <c r="N10" s="242"/>
      <c r="O10" s="242"/>
      <c r="P10" s="110">
        <f t="shared" si="0"/>
        <v>0</v>
      </c>
    </row>
    <row r="11" spans="1:16" x14ac:dyDescent="0.25">
      <c r="A11" s="11"/>
      <c r="B11" s="3"/>
      <c r="C11" s="3"/>
      <c r="D11" s="242"/>
      <c r="E11" s="242"/>
      <c r="F11" s="242"/>
      <c r="G11" s="242"/>
      <c r="H11" s="104">
        <f t="shared" si="1"/>
        <v>0</v>
      </c>
      <c r="I11" s="101"/>
      <c r="J11" s="3"/>
      <c r="K11" s="3"/>
      <c r="L11" s="242"/>
      <c r="M11" s="242"/>
      <c r="N11" s="242"/>
      <c r="O11" s="242"/>
      <c r="P11" s="110">
        <f t="shared" si="0"/>
        <v>0</v>
      </c>
    </row>
    <row r="12" spans="1:16" x14ac:dyDescent="0.25">
      <c r="A12" s="11"/>
      <c r="B12" s="3"/>
      <c r="C12" s="3"/>
      <c r="D12" s="242"/>
      <c r="E12" s="242"/>
      <c r="F12" s="242"/>
      <c r="G12" s="242"/>
      <c r="H12" s="104">
        <f t="shared" si="1"/>
        <v>0</v>
      </c>
      <c r="I12" s="101"/>
      <c r="J12" s="3"/>
      <c r="K12" s="3"/>
      <c r="L12" s="242"/>
      <c r="M12" s="242"/>
      <c r="N12" s="242"/>
      <c r="O12" s="242"/>
      <c r="P12" s="110">
        <f t="shared" si="0"/>
        <v>0</v>
      </c>
    </row>
    <row r="13" spans="1:16" x14ac:dyDescent="0.25">
      <c r="A13" s="11"/>
      <c r="B13" s="3"/>
      <c r="C13" s="3"/>
      <c r="D13" s="242"/>
      <c r="E13" s="242"/>
      <c r="F13" s="242"/>
      <c r="G13" s="242"/>
      <c r="H13" s="104">
        <f t="shared" si="1"/>
        <v>0</v>
      </c>
      <c r="I13" s="101"/>
      <c r="J13" s="3"/>
      <c r="K13" s="3"/>
      <c r="L13" s="242"/>
      <c r="M13" s="242"/>
      <c r="N13" s="242"/>
      <c r="O13" s="242"/>
      <c r="P13" s="110">
        <f t="shared" si="0"/>
        <v>0</v>
      </c>
    </row>
    <row r="14" spans="1:16" x14ac:dyDescent="0.25">
      <c r="A14" s="11"/>
      <c r="B14" s="3"/>
      <c r="C14" s="3"/>
      <c r="D14" s="242"/>
      <c r="E14" s="242"/>
      <c r="F14" s="242"/>
      <c r="G14" s="242"/>
      <c r="H14" s="104">
        <f t="shared" si="1"/>
        <v>0</v>
      </c>
      <c r="I14" s="101"/>
      <c r="J14" s="3"/>
      <c r="K14" s="3"/>
      <c r="L14" s="242"/>
      <c r="M14" s="242"/>
      <c r="N14" s="242"/>
      <c r="O14" s="242"/>
      <c r="P14" s="110">
        <f t="shared" si="0"/>
        <v>0</v>
      </c>
    </row>
    <row r="15" spans="1:16" x14ac:dyDescent="0.25">
      <c r="A15" s="11"/>
      <c r="B15" s="3"/>
      <c r="C15" s="3"/>
      <c r="D15" s="242"/>
      <c r="E15" s="242"/>
      <c r="F15" s="242"/>
      <c r="G15" s="242"/>
      <c r="H15" s="104">
        <f t="shared" si="1"/>
        <v>0</v>
      </c>
      <c r="I15" s="101"/>
      <c r="J15" s="3"/>
      <c r="K15" s="3"/>
      <c r="L15" s="242"/>
      <c r="M15" s="242"/>
      <c r="N15" s="242"/>
      <c r="O15" s="242"/>
      <c r="P15" s="110">
        <f t="shared" si="0"/>
        <v>0</v>
      </c>
    </row>
    <row r="16" spans="1:16" x14ac:dyDescent="0.25">
      <c r="A16" s="11"/>
      <c r="B16" s="3"/>
      <c r="C16" s="3"/>
      <c r="D16" s="242"/>
      <c r="E16" s="242"/>
      <c r="F16" s="242"/>
      <c r="G16" s="242"/>
      <c r="H16" s="104">
        <f t="shared" si="1"/>
        <v>0</v>
      </c>
      <c r="I16" s="101"/>
      <c r="J16" s="3"/>
      <c r="K16" s="3"/>
      <c r="L16" s="242"/>
      <c r="M16" s="242"/>
      <c r="N16" s="242"/>
      <c r="O16" s="242"/>
      <c r="P16" s="110">
        <f t="shared" si="0"/>
        <v>0</v>
      </c>
    </row>
    <row r="17" spans="1:16" x14ac:dyDescent="0.25">
      <c r="A17" s="11"/>
      <c r="B17" s="3"/>
      <c r="C17" s="3"/>
      <c r="D17" s="242"/>
      <c r="E17" s="242"/>
      <c r="F17" s="242"/>
      <c r="G17" s="242"/>
      <c r="H17" s="104">
        <f t="shared" si="1"/>
        <v>0</v>
      </c>
      <c r="I17" s="101"/>
      <c r="J17" s="3"/>
      <c r="K17" s="3"/>
      <c r="L17" s="242"/>
      <c r="M17" s="242"/>
      <c r="N17" s="242"/>
      <c r="O17" s="242"/>
      <c r="P17" s="110">
        <f t="shared" si="0"/>
        <v>0</v>
      </c>
    </row>
    <row r="18" spans="1:16" x14ac:dyDescent="0.25">
      <c r="A18" s="11"/>
      <c r="B18" s="3"/>
      <c r="C18" s="3"/>
      <c r="D18" s="242"/>
      <c r="E18" s="242"/>
      <c r="F18" s="242"/>
      <c r="G18" s="242"/>
      <c r="H18" s="104">
        <f t="shared" si="1"/>
        <v>0</v>
      </c>
      <c r="I18" s="101"/>
      <c r="J18" s="3"/>
      <c r="K18" s="3"/>
      <c r="L18" s="242"/>
      <c r="M18" s="242"/>
      <c r="N18" s="242"/>
      <c r="O18" s="242"/>
      <c r="P18" s="110">
        <f t="shared" si="0"/>
        <v>0</v>
      </c>
    </row>
    <row r="19" spans="1:16" x14ac:dyDescent="0.25">
      <c r="A19" s="11"/>
      <c r="B19" s="3"/>
      <c r="C19" s="3"/>
      <c r="D19" s="242"/>
      <c r="E19" s="242"/>
      <c r="F19" s="242"/>
      <c r="G19" s="242"/>
      <c r="H19" s="104">
        <f t="shared" si="1"/>
        <v>0</v>
      </c>
      <c r="I19" s="101"/>
      <c r="J19" s="3"/>
      <c r="K19" s="3"/>
      <c r="L19" s="242"/>
      <c r="M19" s="242"/>
      <c r="N19" s="242"/>
      <c r="O19" s="242"/>
      <c r="P19" s="110">
        <f t="shared" si="0"/>
        <v>0</v>
      </c>
    </row>
    <row r="20" spans="1:16" x14ac:dyDescent="0.25">
      <c r="A20" s="11"/>
      <c r="B20" s="3"/>
      <c r="C20" s="3"/>
      <c r="D20" s="242"/>
      <c r="E20" s="242"/>
      <c r="F20" s="242"/>
      <c r="G20" s="242"/>
      <c r="H20" s="104">
        <f t="shared" si="1"/>
        <v>0</v>
      </c>
      <c r="I20" s="101"/>
      <c r="J20" s="3"/>
      <c r="K20" s="3"/>
      <c r="L20" s="242"/>
      <c r="M20" s="242"/>
      <c r="N20" s="242"/>
      <c r="O20" s="242"/>
      <c r="P20" s="110">
        <f t="shared" si="0"/>
        <v>0</v>
      </c>
    </row>
    <row r="21" spans="1:16" x14ac:dyDescent="0.25">
      <c r="A21" s="11"/>
      <c r="B21" s="3"/>
      <c r="C21" s="3"/>
      <c r="D21" s="242"/>
      <c r="E21" s="242"/>
      <c r="F21" s="242"/>
      <c r="G21" s="242"/>
      <c r="H21" s="104">
        <f t="shared" si="1"/>
        <v>0</v>
      </c>
      <c r="I21" s="101"/>
      <c r="J21" s="3"/>
      <c r="K21" s="3"/>
      <c r="L21" s="242"/>
      <c r="M21" s="242"/>
      <c r="N21" s="242"/>
      <c r="O21" s="242"/>
      <c r="P21" s="110">
        <f t="shared" si="0"/>
        <v>0</v>
      </c>
    </row>
    <row r="22" spans="1:16" x14ac:dyDescent="0.25">
      <c r="A22" s="11"/>
      <c r="B22" s="3"/>
      <c r="C22" s="3"/>
      <c r="D22" s="242"/>
      <c r="E22" s="242"/>
      <c r="F22" s="242"/>
      <c r="G22" s="242"/>
      <c r="H22" s="104">
        <f t="shared" si="1"/>
        <v>0</v>
      </c>
      <c r="I22" s="101"/>
      <c r="J22" s="3"/>
      <c r="K22" s="3"/>
      <c r="L22" s="242"/>
      <c r="M22" s="242"/>
      <c r="N22" s="242"/>
      <c r="O22" s="242"/>
      <c r="P22" s="110">
        <f t="shared" si="0"/>
        <v>0</v>
      </c>
    </row>
    <row r="23" spans="1:16" x14ac:dyDescent="0.25">
      <c r="A23" s="11"/>
      <c r="B23" s="3"/>
      <c r="C23" s="3"/>
      <c r="D23" s="242"/>
      <c r="E23" s="242"/>
      <c r="F23" s="242"/>
      <c r="G23" s="242"/>
      <c r="H23" s="104">
        <f t="shared" si="1"/>
        <v>0</v>
      </c>
      <c r="I23" s="101"/>
      <c r="J23" s="3"/>
      <c r="K23" s="3"/>
      <c r="L23" s="242"/>
      <c r="M23" s="242"/>
      <c r="N23" s="242"/>
      <c r="O23" s="242"/>
      <c r="P23" s="110">
        <f t="shared" si="0"/>
        <v>0</v>
      </c>
    </row>
    <row r="24" spans="1:16" x14ac:dyDescent="0.25">
      <c r="A24" s="11"/>
      <c r="B24" s="3"/>
      <c r="C24" s="3"/>
      <c r="D24" s="242"/>
      <c r="E24" s="242"/>
      <c r="F24" s="242"/>
      <c r="G24" s="242"/>
      <c r="H24" s="104">
        <f t="shared" si="1"/>
        <v>0</v>
      </c>
      <c r="I24" s="101"/>
      <c r="J24" s="3"/>
      <c r="K24" s="3"/>
      <c r="L24" s="242"/>
      <c r="M24" s="242"/>
      <c r="N24" s="242"/>
      <c r="O24" s="242"/>
      <c r="P24" s="110">
        <f t="shared" si="0"/>
        <v>0</v>
      </c>
    </row>
    <row r="25" spans="1:16" x14ac:dyDescent="0.25">
      <c r="A25" s="11"/>
      <c r="B25" s="3"/>
      <c r="C25" s="3"/>
      <c r="D25" s="242"/>
      <c r="E25" s="242"/>
      <c r="F25" s="242"/>
      <c r="G25" s="242"/>
      <c r="H25" s="104">
        <f t="shared" si="1"/>
        <v>0</v>
      </c>
      <c r="I25" s="101"/>
      <c r="J25" s="3"/>
      <c r="K25" s="3"/>
      <c r="L25" s="242"/>
      <c r="M25" s="242"/>
      <c r="N25" s="242"/>
      <c r="O25" s="242"/>
      <c r="P25" s="110">
        <f t="shared" si="0"/>
        <v>0</v>
      </c>
    </row>
    <row r="26" spans="1:16" x14ac:dyDescent="0.25">
      <c r="A26" s="11"/>
      <c r="B26" s="3"/>
      <c r="C26" s="3"/>
      <c r="D26" s="242"/>
      <c r="E26" s="242"/>
      <c r="F26" s="242"/>
      <c r="G26" s="242"/>
      <c r="H26" s="104">
        <f t="shared" si="1"/>
        <v>0</v>
      </c>
      <c r="I26" s="101"/>
      <c r="J26" s="3"/>
      <c r="K26" s="3"/>
      <c r="L26" s="242"/>
      <c r="M26" s="242"/>
      <c r="N26" s="242"/>
      <c r="O26" s="242"/>
      <c r="P26" s="110">
        <f t="shared" si="0"/>
        <v>0</v>
      </c>
    </row>
    <row r="27" spans="1:16" x14ac:dyDescent="0.25">
      <c r="A27" s="11"/>
      <c r="B27" s="3"/>
      <c r="C27" s="3"/>
      <c r="D27" s="242"/>
      <c r="E27" s="242"/>
      <c r="F27" s="242"/>
      <c r="G27" s="242"/>
      <c r="H27" s="104">
        <f t="shared" si="1"/>
        <v>0</v>
      </c>
      <c r="I27" s="101"/>
      <c r="J27" s="3"/>
      <c r="K27" s="3"/>
      <c r="L27" s="242"/>
      <c r="M27" s="242"/>
      <c r="N27" s="242"/>
      <c r="O27" s="242"/>
      <c r="P27" s="110">
        <f t="shared" si="0"/>
        <v>0</v>
      </c>
    </row>
    <row r="28" spans="1:16" x14ac:dyDescent="0.25">
      <c r="A28" s="11"/>
      <c r="B28" s="3"/>
      <c r="C28" s="3"/>
      <c r="D28" s="242"/>
      <c r="E28" s="242"/>
      <c r="F28" s="242"/>
      <c r="G28" s="242"/>
      <c r="H28" s="104">
        <f t="shared" si="1"/>
        <v>0</v>
      </c>
      <c r="I28" s="101"/>
      <c r="J28" s="3"/>
      <c r="K28" s="3"/>
      <c r="L28" s="242"/>
      <c r="M28" s="242"/>
      <c r="N28" s="242"/>
      <c r="O28" s="242"/>
      <c r="P28" s="110">
        <f t="shared" si="0"/>
        <v>0</v>
      </c>
    </row>
    <row r="29" spans="1:16" x14ac:dyDescent="0.25">
      <c r="A29" s="11"/>
      <c r="B29" s="3"/>
      <c r="C29" s="3"/>
      <c r="D29" s="242"/>
      <c r="E29" s="242"/>
      <c r="F29" s="242"/>
      <c r="G29" s="242"/>
      <c r="H29" s="104">
        <f t="shared" si="1"/>
        <v>0</v>
      </c>
      <c r="I29" s="101"/>
      <c r="J29" s="3"/>
      <c r="K29" s="3"/>
      <c r="L29" s="242"/>
      <c r="M29" s="242"/>
      <c r="N29" s="242"/>
      <c r="O29" s="242"/>
      <c r="P29" s="110">
        <f t="shared" si="0"/>
        <v>0</v>
      </c>
    </row>
    <row r="30" spans="1:16" x14ac:dyDescent="0.25">
      <c r="A30" s="11"/>
      <c r="B30" s="3"/>
      <c r="C30" s="3"/>
      <c r="D30" s="242"/>
      <c r="E30" s="242"/>
      <c r="F30" s="242"/>
      <c r="G30" s="242"/>
      <c r="H30" s="104">
        <f t="shared" si="1"/>
        <v>0</v>
      </c>
      <c r="I30" s="101"/>
      <c r="J30" s="3"/>
      <c r="K30" s="3"/>
      <c r="L30" s="242"/>
      <c r="M30" s="242"/>
      <c r="N30" s="242"/>
      <c r="O30" s="242"/>
      <c r="P30" s="110">
        <f t="shared" si="0"/>
        <v>0</v>
      </c>
    </row>
    <row r="31" spans="1:16" x14ac:dyDescent="0.25">
      <c r="A31" s="11"/>
      <c r="B31" s="3"/>
      <c r="C31" s="3"/>
      <c r="D31" s="242"/>
      <c r="E31" s="242"/>
      <c r="F31" s="242"/>
      <c r="G31" s="242"/>
      <c r="H31" s="104">
        <f t="shared" si="1"/>
        <v>0</v>
      </c>
      <c r="I31" s="101"/>
      <c r="J31" s="3"/>
      <c r="K31" s="3"/>
      <c r="L31" s="242"/>
      <c r="M31" s="242"/>
      <c r="N31" s="242"/>
      <c r="O31" s="242"/>
      <c r="P31" s="110">
        <f t="shared" si="0"/>
        <v>0</v>
      </c>
    </row>
    <row r="32" spans="1:16" x14ac:dyDescent="0.25">
      <c r="A32" s="11"/>
      <c r="B32" s="3"/>
      <c r="C32" s="3"/>
      <c r="D32" s="242"/>
      <c r="E32" s="242"/>
      <c r="F32" s="242"/>
      <c r="G32" s="242"/>
      <c r="H32" s="104">
        <f t="shared" si="1"/>
        <v>0</v>
      </c>
      <c r="I32" s="101"/>
      <c r="J32" s="3"/>
      <c r="K32" s="3"/>
      <c r="L32" s="242"/>
      <c r="M32" s="242"/>
      <c r="N32" s="242"/>
      <c r="O32" s="242"/>
      <c r="P32" s="110">
        <f t="shared" si="0"/>
        <v>0</v>
      </c>
    </row>
    <row r="33" spans="1:16" x14ac:dyDescent="0.25">
      <c r="A33" s="11"/>
      <c r="B33" s="3"/>
      <c r="C33" s="3"/>
      <c r="D33" s="242"/>
      <c r="E33" s="242"/>
      <c r="F33" s="242"/>
      <c r="G33" s="242"/>
      <c r="H33" s="104">
        <f t="shared" si="1"/>
        <v>0</v>
      </c>
      <c r="I33" s="101"/>
      <c r="J33" s="3"/>
      <c r="K33" s="3"/>
      <c r="L33" s="242"/>
      <c r="M33" s="242"/>
      <c r="N33" s="242"/>
      <c r="O33" s="242"/>
      <c r="P33" s="110">
        <f t="shared" si="0"/>
        <v>0</v>
      </c>
    </row>
    <row r="34" spans="1:16" x14ac:dyDescent="0.25">
      <c r="A34" s="11"/>
      <c r="B34" s="3"/>
      <c r="C34" s="3"/>
      <c r="D34" s="242"/>
      <c r="E34" s="242"/>
      <c r="F34" s="242"/>
      <c r="G34" s="242"/>
      <c r="H34" s="104">
        <f t="shared" si="1"/>
        <v>0</v>
      </c>
      <c r="I34" s="101"/>
      <c r="J34" s="3"/>
      <c r="K34" s="3"/>
      <c r="L34" s="242"/>
      <c r="M34" s="242"/>
      <c r="N34" s="242"/>
      <c r="O34" s="242"/>
      <c r="P34" s="110">
        <f t="shared" si="0"/>
        <v>0</v>
      </c>
    </row>
    <row r="35" spans="1:16" x14ac:dyDescent="0.25">
      <c r="A35" s="11"/>
      <c r="B35" s="3"/>
      <c r="C35" s="3"/>
      <c r="D35" s="242"/>
      <c r="E35" s="242"/>
      <c r="F35" s="242"/>
      <c r="G35" s="242"/>
      <c r="H35" s="104">
        <f t="shared" si="1"/>
        <v>0</v>
      </c>
      <c r="I35" s="101"/>
      <c r="J35" s="3"/>
      <c r="K35" s="3"/>
      <c r="L35" s="242"/>
      <c r="M35" s="242"/>
      <c r="N35" s="242"/>
      <c r="O35" s="242"/>
      <c r="P35" s="110">
        <f t="shared" si="0"/>
        <v>0</v>
      </c>
    </row>
    <row r="36" spans="1:16" x14ac:dyDescent="0.25">
      <c r="A36" s="11"/>
      <c r="B36" s="3"/>
      <c r="C36" s="3"/>
      <c r="D36" s="242"/>
      <c r="E36" s="242"/>
      <c r="F36" s="242"/>
      <c r="G36" s="242"/>
      <c r="H36" s="104">
        <f t="shared" si="1"/>
        <v>0</v>
      </c>
      <c r="I36" s="101"/>
      <c r="J36" s="3"/>
      <c r="K36" s="3"/>
      <c r="L36" s="242"/>
      <c r="M36" s="242"/>
      <c r="N36" s="242"/>
      <c r="O36" s="242"/>
      <c r="P36" s="110">
        <f t="shared" si="0"/>
        <v>0</v>
      </c>
    </row>
    <row r="37" spans="1:16" x14ac:dyDescent="0.25">
      <c r="A37" s="11"/>
      <c r="B37" s="3"/>
      <c r="C37" s="3"/>
      <c r="D37" s="242"/>
      <c r="E37" s="242"/>
      <c r="F37" s="242"/>
      <c r="G37" s="242"/>
      <c r="H37" s="104">
        <f t="shared" si="1"/>
        <v>0</v>
      </c>
      <c r="I37" s="101"/>
      <c r="J37" s="3"/>
      <c r="K37" s="3"/>
      <c r="L37" s="242"/>
      <c r="M37" s="242"/>
      <c r="N37" s="242"/>
      <c r="O37" s="242"/>
      <c r="P37" s="110">
        <f t="shared" si="0"/>
        <v>0</v>
      </c>
    </row>
    <row r="38" spans="1:16" x14ac:dyDescent="0.25">
      <c r="A38" s="11"/>
      <c r="B38" s="3"/>
      <c r="C38" s="3"/>
      <c r="D38" s="242"/>
      <c r="E38" s="242"/>
      <c r="F38" s="242"/>
      <c r="G38" s="242"/>
      <c r="H38" s="104">
        <f t="shared" si="1"/>
        <v>0</v>
      </c>
      <c r="I38" s="101"/>
      <c r="J38" s="3"/>
      <c r="K38" s="3"/>
      <c r="L38" s="242"/>
      <c r="M38" s="242"/>
      <c r="N38" s="242"/>
      <c r="O38" s="242"/>
      <c r="P38" s="110">
        <f t="shared" si="0"/>
        <v>0</v>
      </c>
    </row>
    <row r="39" spans="1:16" x14ac:dyDescent="0.25">
      <c r="A39" s="11"/>
      <c r="B39" s="3"/>
      <c r="C39" s="3"/>
      <c r="D39" s="242"/>
      <c r="E39" s="242"/>
      <c r="F39" s="242"/>
      <c r="G39" s="242"/>
      <c r="H39" s="104">
        <f t="shared" si="1"/>
        <v>0</v>
      </c>
      <c r="I39" s="101"/>
      <c r="J39" s="3"/>
      <c r="K39" s="3"/>
      <c r="L39" s="242"/>
      <c r="M39" s="242"/>
      <c r="N39" s="242"/>
      <c r="O39" s="242"/>
      <c r="P39" s="110">
        <f t="shared" si="0"/>
        <v>0</v>
      </c>
    </row>
    <row r="40" spans="1:16" x14ac:dyDescent="0.25">
      <c r="A40" s="11"/>
      <c r="B40" s="3"/>
      <c r="C40" s="3"/>
      <c r="D40" s="242"/>
      <c r="E40" s="242"/>
      <c r="F40" s="242"/>
      <c r="G40" s="242"/>
      <c r="H40" s="104">
        <f t="shared" si="1"/>
        <v>0</v>
      </c>
      <c r="I40" s="101"/>
      <c r="J40" s="3"/>
      <c r="K40" s="3"/>
      <c r="L40" s="242"/>
      <c r="M40" s="242"/>
      <c r="N40" s="242"/>
      <c r="O40" s="242"/>
      <c r="P40" s="110">
        <f t="shared" si="0"/>
        <v>0</v>
      </c>
    </row>
    <row r="41" spans="1:16" x14ac:dyDescent="0.25">
      <c r="A41" s="11"/>
      <c r="B41" s="3"/>
      <c r="C41" s="3"/>
      <c r="D41" s="242"/>
      <c r="E41" s="242"/>
      <c r="F41" s="242"/>
      <c r="G41" s="242"/>
      <c r="H41" s="104">
        <f t="shared" si="1"/>
        <v>0</v>
      </c>
      <c r="I41" s="101"/>
      <c r="J41" s="3"/>
      <c r="K41" s="3"/>
      <c r="L41" s="242"/>
      <c r="M41" s="242"/>
      <c r="N41" s="242"/>
      <c r="O41" s="242"/>
      <c r="P41" s="110">
        <f t="shared" si="0"/>
        <v>0</v>
      </c>
    </row>
    <row r="42" spans="1:16" x14ac:dyDescent="0.25">
      <c r="A42" s="11"/>
      <c r="B42" s="3"/>
      <c r="C42" s="3"/>
      <c r="D42" s="242"/>
      <c r="E42" s="242"/>
      <c r="F42" s="242"/>
      <c r="G42" s="242"/>
      <c r="H42" s="104">
        <f t="shared" si="1"/>
        <v>0</v>
      </c>
      <c r="I42" s="101"/>
      <c r="J42" s="3"/>
      <c r="K42" s="3"/>
      <c r="L42" s="242"/>
      <c r="M42" s="242"/>
      <c r="N42" s="242"/>
      <c r="O42" s="242"/>
      <c r="P42" s="110">
        <f t="shared" si="0"/>
        <v>0</v>
      </c>
    </row>
    <row r="43" spans="1:16" x14ac:dyDescent="0.25">
      <c r="A43" s="11"/>
      <c r="B43" s="3"/>
      <c r="C43" s="3"/>
      <c r="D43" s="242"/>
      <c r="E43" s="242"/>
      <c r="F43" s="242"/>
      <c r="G43" s="242"/>
      <c r="H43" s="104">
        <f t="shared" si="1"/>
        <v>0</v>
      </c>
      <c r="I43" s="101"/>
      <c r="J43" s="3"/>
      <c r="K43" s="3"/>
      <c r="L43" s="242"/>
      <c r="M43" s="242"/>
      <c r="N43" s="242"/>
      <c r="O43" s="242"/>
      <c r="P43" s="110">
        <f t="shared" si="0"/>
        <v>0</v>
      </c>
    </row>
    <row r="44" spans="1:16" x14ac:dyDescent="0.25">
      <c r="A44" s="11"/>
      <c r="B44" s="3"/>
      <c r="C44" s="3"/>
      <c r="D44" s="242"/>
      <c r="E44" s="242"/>
      <c r="F44" s="242"/>
      <c r="G44" s="242"/>
      <c r="H44" s="104">
        <f t="shared" si="1"/>
        <v>0</v>
      </c>
      <c r="I44" s="101"/>
      <c r="J44" s="3"/>
      <c r="K44" s="3"/>
      <c r="L44" s="242"/>
      <c r="M44" s="242"/>
      <c r="N44" s="242"/>
      <c r="O44" s="242"/>
      <c r="P44" s="110">
        <f t="shared" si="0"/>
        <v>0</v>
      </c>
    </row>
    <row r="45" spans="1:16" x14ac:dyDescent="0.25">
      <c r="A45" s="11"/>
      <c r="B45" s="3"/>
      <c r="C45" s="3"/>
      <c r="D45" s="242"/>
      <c r="E45" s="242"/>
      <c r="F45" s="242"/>
      <c r="G45" s="242"/>
      <c r="H45" s="104">
        <f t="shared" si="1"/>
        <v>0</v>
      </c>
      <c r="I45" s="101"/>
      <c r="J45" s="3"/>
      <c r="K45" s="3"/>
      <c r="L45" s="242"/>
      <c r="M45" s="242"/>
      <c r="N45" s="242"/>
      <c r="O45" s="242"/>
      <c r="P45" s="110">
        <f t="shared" si="0"/>
        <v>0</v>
      </c>
    </row>
    <row r="46" spans="1:16" x14ac:dyDescent="0.25">
      <c r="A46" s="11"/>
      <c r="B46" s="3"/>
      <c r="C46" s="3"/>
      <c r="D46" s="242"/>
      <c r="E46" s="242"/>
      <c r="F46" s="242"/>
      <c r="G46" s="242"/>
      <c r="H46" s="104">
        <f t="shared" si="1"/>
        <v>0</v>
      </c>
      <c r="I46" s="101"/>
      <c r="J46" s="3"/>
      <c r="K46" s="3"/>
      <c r="L46" s="242"/>
      <c r="M46" s="242"/>
      <c r="N46" s="242"/>
      <c r="O46" s="242"/>
      <c r="P46" s="110">
        <f t="shared" si="0"/>
        <v>0</v>
      </c>
    </row>
    <row r="47" spans="1:16" x14ac:dyDescent="0.25">
      <c r="A47" s="11"/>
      <c r="B47" s="3"/>
      <c r="C47" s="3"/>
      <c r="D47" s="242"/>
      <c r="E47" s="242"/>
      <c r="F47" s="242"/>
      <c r="G47" s="242"/>
      <c r="H47" s="104">
        <f t="shared" si="1"/>
        <v>0</v>
      </c>
      <c r="I47" s="101"/>
      <c r="J47" s="3"/>
      <c r="K47" s="3"/>
      <c r="L47" s="242"/>
      <c r="M47" s="242"/>
      <c r="N47" s="242"/>
      <c r="O47" s="242"/>
      <c r="P47" s="110">
        <f t="shared" si="0"/>
        <v>0</v>
      </c>
    </row>
    <row r="48" spans="1:16" x14ac:dyDescent="0.25">
      <c r="A48" s="11"/>
      <c r="B48" s="3"/>
      <c r="C48" s="3"/>
      <c r="D48" s="242"/>
      <c r="E48" s="242"/>
      <c r="F48" s="242"/>
      <c r="G48" s="242"/>
      <c r="H48" s="104">
        <f t="shared" si="1"/>
        <v>0</v>
      </c>
      <c r="I48" s="101"/>
      <c r="J48" s="3"/>
      <c r="K48" s="3"/>
      <c r="L48" s="242"/>
      <c r="M48" s="242"/>
      <c r="N48" s="242"/>
      <c r="O48" s="242"/>
      <c r="P48" s="110">
        <f t="shared" si="0"/>
        <v>0</v>
      </c>
    </row>
    <row r="49" spans="1:16" x14ac:dyDescent="0.25">
      <c r="A49" s="11"/>
      <c r="B49" s="3"/>
      <c r="C49" s="3"/>
      <c r="D49" s="242"/>
      <c r="E49" s="242"/>
      <c r="F49" s="242"/>
      <c r="G49" s="242"/>
      <c r="H49" s="104">
        <f t="shared" si="1"/>
        <v>0</v>
      </c>
      <c r="I49" s="101"/>
      <c r="J49" s="3"/>
      <c r="K49" s="3"/>
      <c r="L49" s="242"/>
      <c r="M49" s="242"/>
      <c r="N49" s="242"/>
      <c r="O49" s="242"/>
      <c r="P49" s="110">
        <f t="shared" si="0"/>
        <v>0</v>
      </c>
    </row>
    <row r="50" spans="1:16" x14ac:dyDescent="0.25">
      <c r="A50" s="11"/>
      <c r="B50" s="3"/>
      <c r="C50" s="3"/>
      <c r="D50" s="242"/>
      <c r="E50" s="242"/>
      <c r="F50" s="242"/>
      <c r="G50" s="242"/>
      <c r="H50" s="104">
        <f t="shared" si="1"/>
        <v>0</v>
      </c>
      <c r="I50" s="101"/>
      <c r="J50" s="3"/>
      <c r="K50" s="3"/>
      <c r="L50" s="242"/>
      <c r="M50" s="242"/>
      <c r="N50" s="242"/>
      <c r="O50" s="242"/>
      <c r="P50" s="110">
        <f t="shared" si="0"/>
        <v>0</v>
      </c>
    </row>
    <row r="51" spans="1:16" x14ac:dyDescent="0.25">
      <c r="A51" s="11"/>
      <c r="B51" s="3"/>
      <c r="C51" s="3"/>
      <c r="D51" s="242"/>
      <c r="E51" s="242"/>
      <c r="F51" s="242"/>
      <c r="G51" s="242"/>
      <c r="H51" s="104">
        <f t="shared" si="1"/>
        <v>0</v>
      </c>
      <c r="I51" s="101"/>
      <c r="J51" s="3"/>
      <c r="K51" s="3"/>
      <c r="L51" s="242"/>
      <c r="M51" s="242"/>
      <c r="N51" s="242"/>
      <c r="O51" s="242"/>
      <c r="P51" s="110">
        <f t="shared" si="0"/>
        <v>0</v>
      </c>
    </row>
    <row r="52" spans="1:16" x14ac:dyDescent="0.25">
      <c r="A52" s="11"/>
      <c r="B52" s="3"/>
      <c r="C52" s="3"/>
      <c r="D52" s="242"/>
      <c r="E52" s="242"/>
      <c r="F52" s="242"/>
      <c r="G52" s="242"/>
      <c r="H52" s="104">
        <f t="shared" si="1"/>
        <v>0</v>
      </c>
      <c r="I52" s="101"/>
      <c r="J52" s="3"/>
      <c r="K52" s="3"/>
      <c r="L52" s="242"/>
      <c r="M52" s="242"/>
      <c r="N52" s="242"/>
      <c r="O52" s="242"/>
      <c r="P52" s="110">
        <f t="shared" si="0"/>
        <v>0</v>
      </c>
    </row>
    <row r="53" spans="1:16" x14ac:dyDescent="0.25">
      <c r="A53" s="11"/>
      <c r="B53" s="3"/>
      <c r="C53" s="3"/>
      <c r="D53" s="242"/>
      <c r="E53" s="242"/>
      <c r="F53" s="242"/>
      <c r="G53" s="242"/>
      <c r="H53" s="104">
        <f t="shared" si="1"/>
        <v>0</v>
      </c>
      <c r="I53" s="101"/>
      <c r="J53" s="3"/>
      <c r="K53" s="3"/>
      <c r="L53" s="242"/>
      <c r="M53" s="242"/>
      <c r="N53" s="242"/>
      <c r="O53" s="242"/>
      <c r="P53" s="110">
        <f t="shared" si="0"/>
        <v>0</v>
      </c>
    </row>
    <row r="54" spans="1:16" x14ac:dyDescent="0.25">
      <c r="A54" s="11"/>
      <c r="B54" s="3"/>
      <c r="C54" s="3"/>
      <c r="D54" s="242"/>
      <c r="E54" s="242"/>
      <c r="F54" s="242"/>
      <c r="G54" s="242"/>
      <c r="H54" s="104">
        <f t="shared" si="1"/>
        <v>0</v>
      </c>
      <c r="I54" s="101"/>
      <c r="J54" s="3"/>
      <c r="K54" s="3"/>
      <c r="L54" s="242"/>
      <c r="M54" s="242"/>
      <c r="N54" s="242"/>
      <c r="O54" s="242"/>
      <c r="P54" s="110">
        <f t="shared" si="0"/>
        <v>0</v>
      </c>
    </row>
    <row r="55" spans="1:16" x14ac:dyDescent="0.25">
      <c r="A55" s="11"/>
      <c r="B55" s="3"/>
      <c r="C55" s="3"/>
      <c r="D55" s="242"/>
      <c r="E55" s="242"/>
      <c r="F55" s="242"/>
      <c r="G55" s="242"/>
      <c r="H55" s="104">
        <f t="shared" si="1"/>
        <v>0</v>
      </c>
      <c r="I55" s="101"/>
      <c r="J55" s="3"/>
      <c r="K55" s="3"/>
      <c r="L55" s="242"/>
      <c r="M55" s="242"/>
      <c r="N55" s="242"/>
      <c r="O55" s="242"/>
      <c r="P55" s="110">
        <f t="shared" si="0"/>
        <v>0</v>
      </c>
    </row>
    <row r="56" spans="1:16" x14ac:dyDescent="0.25">
      <c r="A56" s="11"/>
      <c r="B56" s="3"/>
      <c r="C56" s="3"/>
      <c r="D56" s="242"/>
      <c r="E56" s="242"/>
      <c r="F56" s="242"/>
      <c r="G56" s="242"/>
      <c r="H56" s="104">
        <f t="shared" si="1"/>
        <v>0</v>
      </c>
      <c r="I56" s="101"/>
      <c r="J56" s="3"/>
      <c r="K56" s="3"/>
      <c r="L56" s="242"/>
      <c r="M56" s="242"/>
      <c r="N56" s="242"/>
      <c r="O56" s="242"/>
      <c r="P56" s="110">
        <f t="shared" si="0"/>
        <v>0</v>
      </c>
    </row>
    <row r="57" spans="1:16" ht="15.75" thickBot="1" x14ac:dyDescent="0.3">
      <c r="A57" s="11"/>
      <c r="B57" s="3"/>
      <c r="C57" s="3"/>
      <c r="D57" s="242"/>
      <c r="E57" s="242"/>
      <c r="F57" s="242"/>
      <c r="G57" s="242"/>
      <c r="H57" s="104">
        <f t="shared" si="1"/>
        <v>0</v>
      </c>
      <c r="I57" s="101"/>
      <c r="J57" s="3"/>
      <c r="K57" s="3"/>
      <c r="L57" s="242"/>
      <c r="M57" s="242"/>
      <c r="N57" s="242"/>
      <c r="O57" s="242"/>
      <c r="P57" s="110">
        <f t="shared" si="0"/>
        <v>0</v>
      </c>
    </row>
    <row r="58" spans="1:16" x14ac:dyDescent="0.25">
      <c r="A58" s="11"/>
      <c r="B58" s="3"/>
      <c r="C58" s="3"/>
      <c r="D58" s="242"/>
      <c r="E58" s="242"/>
      <c r="F58" s="242"/>
      <c r="G58" s="242"/>
      <c r="H58" s="104">
        <f t="shared" si="1"/>
        <v>0</v>
      </c>
      <c r="I58" s="288" t="s">
        <v>442</v>
      </c>
      <c r="J58" s="271"/>
      <c r="K58" s="271"/>
      <c r="L58" s="271"/>
      <c r="M58" s="414" t="s">
        <v>449</v>
      </c>
      <c r="N58" s="414"/>
      <c r="O58" s="414"/>
      <c r="P58" s="102" t="e">
        <f>SUM(P3:P57,H3:H63)</f>
        <v>#N/A</v>
      </c>
    </row>
    <row r="59" spans="1:16" ht="15.75" thickBot="1" x14ac:dyDescent="0.3">
      <c r="A59" s="11"/>
      <c r="B59" s="3"/>
      <c r="C59" s="3"/>
      <c r="D59" s="242"/>
      <c r="E59" s="242"/>
      <c r="F59" s="242"/>
      <c r="G59" s="242"/>
      <c r="H59" s="104">
        <f t="shared" si="1"/>
        <v>0</v>
      </c>
      <c r="I59" s="421" t="s">
        <v>447</v>
      </c>
      <c r="J59" s="422"/>
      <c r="K59" s="422"/>
      <c r="L59" s="422"/>
      <c r="M59" s="419" t="s">
        <v>448</v>
      </c>
      <c r="N59" s="419"/>
      <c r="O59" s="419"/>
      <c r="P59" s="103">
        <f>SUM(K60:L63)/64</f>
        <v>0</v>
      </c>
    </row>
    <row r="60" spans="1:16" ht="15.75" thickTop="1" x14ac:dyDescent="0.25">
      <c r="A60" s="11"/>
      <c r="B60" s="3"/>
      <c r="C60" s="3"/>
      <c r="D60" s="242"/>
      <c r="E60" s="242"/>
      <c r="F60" s="242"/>
      <c r="G60" s="242"/>
      <c r="H60" s="104">
        <f t="shared" si="1"/>
        <v>0</v>
      </c>
      <c r="I60" s="332" t="s">
        <v>443</v>
      </c>
      <c r="J60" s="269"/>
      <c r="K60" s="423">
        <v>0</v>
      </c>
      <c r="L60" s="423"/>
      <c r="M60" s="419" t="s">
        <v>450</v>
      </c>
      <c r="N60" s="419"/>
      <c r="O60" s="419"/>
      <c r="P60" s="112" t="e">
        <f>SUM(P58:P59)</f>
        <v>#N/A</v>
      </c>
    </row>
    <row r="61" spans="1:16" x14ac:dyDescent="0.25">
      <c r="A61" s="11"/>
      <c r="B61" s="3"/>
      <c r="C61" s="3"/>
      <c r="D61" s="242"/>
      <c r="E61" s="242"/>
      <c r="F61" s="242"/>
      <c r="G61" s="242"/>
      <c r="H61" s="104">
        <f t="shared" si="1"/>
        <v>0</v>
      </c>
      <c r="I61" s="332" t="s">
        <v>444</v>
      </c>
      <c r="J61" s="269"/>
      <c r="K61" s="423">
        <v>0</v>
      </c>
      <c r="L61" s="423"/>
      <c r="M61" s="419" t="s">
        <v>15</v>
      </c>
      <c r="N61" s="419"/>
      <c r="O61" s="419"/>
      <c r="P61" s="108" t="e">
        <f>Front!Q8</f>
        <v>#N/A</v>
      </c>
    </row>
    <row r="62" spans="1:16" x14ac:dyDescent="0.25">
      <c r="A62" s="11"/>
      <c r="B62" s="3"/>
      <c r="C62" s="3"/>
      <c r="D62" s="242"/>
      <c r="E62" s="242"/>
      <c r="F62" s="242"/>
      <c r="G62" s="242"/>
      <c r="H62" s="104">
        <f t="shared" si="1"/>
        <v>0</v>
      </c>
      <c r="I62" s="332" t="s">
        <v>445</v>
      </c>
      <c r="J62" s="269"/>
      <c r="K62" s="423">
        <v>0</v>
      </c>
      <c r="L62" s="423"/>
      <c r="M62" s="419" t="s">
        <v>451</v>
      </c>
      <c r="N62" s="419"/>
      <c r="O62" s="419"/>
      <c r="P62" s="109" t="e">
        <f>MMP</f>
        <v>#N/A</v>
      </c>
    </row>
    <row r="63" spans="1:16" ht="15.75" thickBot="1" x14ac:dyDescent="0.3">
      <c r="A63" s="12"/>
      <c r="B63" s="26"/>
      <c r="C63" s="26"/>
      <c r="D63" s="239"/>
      <c r="E63" s="239"/>
      <c r="F63" s="239"/>
      <c r="G63" s="239"/>
      <c r="H63" s="111">
        <f t="shared" si="1"/>
        <v>0</v>
      </c>
      <c r="I63" s="321" t="s">
        <v>446</v>
      </c>
      <c r="J63" s="277"/>
      <c r="K63" s="424">
        <v>0</v>
      </c>
      <c r="L63" s="424"/>
      <c r="M63" s="420" t="s">
        <v>45</v>
      </c>
      <c r="N63" s="420"/>
      <c r="O63" s="420"/>
      <c r="P63" s="113" t="e">
        <f>BMR</f>
        <v>#N/A</v>
      </c>
    </row>
  </sheetData>
  <mergeCells count="135">
    <mergeCell ref="D5:G5"/>
    <mergeCell ref="L5:O5"/>
    <mergeCell ref="D6:G6"/>
    <mergeCell ref="L6:O6"/>
    <mergeCell ref="D7:G7"/>
    <mergeCell ref="L7:O7"/>
    <mergeCell ref="A1:P1"/>
    <mergeCell ref="D2:G2"/>
    <mergeCell ref="L2:O2"/>
    <mergeCell ref="D3:G3"/>
    <mergeCell ref="L3:O3"/>
    <mergeCell ref="D4:G4"/>
    <mergeCell ref="L4:O4"/>
    <mergeCell ref="D11:G11"/>
    <mergeCell ref="L11:O11"/>
    <mergeCell ref="D12:G12"/>
    <mergeCell ref="L12:O12"/>
    <mergeCell ref="D13:G13"/>
    <mergeCell ref="L13:O13"/>
    <mergeCell ref="D8:G8"/>
    <mergeCell ref="L8:O8"/>
    <mergeCell ref="D9:G9"/>
    <mergeCell ref="L9:O9"/>
    <mergeCell ref="D10:G10"/>
    <mergeCell ref="L10:O10"/>
    <mergeCell ref="D17:G17"/>
    <mergeCell ref="L17:O17"/>
    <mergeCell ref="D18:G18"/>
    <mergeCell ref="L18:O18"/>
    <mergeCell ref="D19:G19"/>
    <mergeCell ref="L19:O19"/>
    <mergeCell ref="D14:G14"/>
    <mergeCell ref="L14:O14"/>
    <mergeCell ref="D15:G15"/>
    <mergeCell ref="L15:O15"/>
    <mergeCell ref="D16:G16"/>
    <mergeCell ref="L16:O16"/>
    <mergeCell ref="D23:G23"/>
    <mergeCell ref="L23:O23"/>
    <mergeCell ref="D24:G24"/>
    <mergeCell ref="L24:O24"/>
    <mergeCell ref="D25:G25"/>
    <mergeCell ref="L25:O25"/>
    <mergeCell ref="D20:G20"/>
    <mergeCell ref="L20:O20"/>
    <mergeCell ref="D21:G21"/>
    <mergeCell ref="L21:O21"/>
    <mergeCell ref="D22:G22"/>
    <mergeCell ref="L22:O22"/>
    <mergeCell ref="D29:G29"/>
    <mergeCell ref="L29:O29"/>
    <mergeCell ref="D30:G30"/>
    <mergeCell ref="L30:O30"/>
    <mergeCell ref="D31:G31"/>
    <mergeCell ref="L31:O31"/>
    <mergeCell ref="D26:G26"/>
    <mergeCell ref="L26:O26"/>
    <mergeCell ref="D27:G27"/>
    <mergeCell ref="L27:O27"/>
    <mergeCell ref="D28:G28"/>
    <mergeCell ref="L28:O28"/>
    <mergeCell ref="D50:G50"/>
    <mergeCell ref="L50:O50"/>
    <mergeCell ref="D45:G45"/>
    <mergeCell ref="L45:O45"/>
    <mergeCell ref="D46:G46"/>
    <mergeCell ref="L46:O46"/>
    <mergeCell ref="D47:G47"/>
    <mergeCell ref="L47:O47"/>
    <mergeCell ref="D42:G42"/>
    <mergeCell ref="L42:O42"/>
    <mergeCell ref="D43:G43"/>
    <mergeCell ref="L43:O43"/>
    <mergeCell ref="D44:G44"/>
    <mergeCell ref="L44:O44"/>
    <mergeCell ref="D32:G32"/>
    <mergeCell ref="L32:O32"/>
    <mergeCell ref="D33:G33"/>
    <mergeCell ref="L33:O33"/>
    <mergeCell ref="D34:G34"/>
    <mergeCell ref="L34:O34"/>
    <mergeCell ref="D63:G63"/>
    <mergeCell ref="D60:G60"/>
    <mergeCell ref="D61:G61"/>
    <mergeCell ref="D62:G62"/>
    <mergeCell ref="D57:G57"/>
    <mergeCell ref="L57:O57"/>
    <mergeCell ref="D58:G58"/>
    <mergeCell ref="D59:G59"/>
    <mergeCell ref="D54:G54"/>
    <mergeCell ref="L54:O54"/>
    <mergeCell ref="D55:G55"/>
    <mergeCell ref="L55:O55"/>
    <mergeCell ref="D56:G56"/>
    <mergeCell ref="L56:O56"/>
    <mergeCell ref="D51:G51"/>
    <mergeCell ref="L51:O51"/>
    <mergeCell ref="D52:G52"/>
    <mergeCell ref="L52:O52"/>
    <mergeCell ref="D38:G38"/>
    <mergeCell ref="L38:O38"/>
    <mergeCell ref="D39:G39"/>
    <mergeCell ref="L39:O39"/>
    <mergeCell ref="D40:G40"/>
    <mergeCell ref="L40:O40"/>
    <mergeCell ref="D35:G35"/>
    <mergeCell ref="L35:O35"/>
    <mergeCell ref="D36:G36"/>
    <mergeCell ref="L36:O36"/>
    <mergeCell ref="D37:G37"/>
    <mergeCell ref="L37:O37"/>
    <mergeCell ref="M62:O62"/>
    <mergeCell ref="M63:O63"/>
    <mergeCell ref="I59:L59"/>
    <mergeCell ref="I58:L58"/>
    <mergeCell ref="M58:O58"/>
    <mergeCell ref="M59:O59"/>
    <mergeCell ref="M60:O60"/>
    <mergeCell ref="M61:O61"/>
    <mergeCell ref="D41:G41"/>
    <mergeCell ref="L41:O41"/>
    <mergeCell ref="K60:L60"/>
    <mergeCell ref="K61:L61"/>
    <mergeCell ref="K62:L62"/>
    <mergeCell ref="K63:L63"/>
    <mergeCell ref="I60:J60"/>
    <mergeCell ref="I61:J61"/>
    <mergeCell ref="I62:J62"/>
    <mergeCell ref="I63:J63"/>
    <mergeCell ref="D53:G53"/>
    <mergeCell ref="L53:O53"/>
    <mergeCell ref="D48:G48"/>
    <mergeCell ref="L48:O48"/>
    <mergeCell ref="D49:G49"/>
    <mergeCell ref="L49:O49"/>
  </mergeCells>
  <printOptions horizontalCentered="1" verticalCentered="1"/>
  <pageMargins left="0.25" right="0.25" top="0.25" bottom="0.25" header="0.3" footer="0.3"/>
  <pageSetup scale="6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A3FF1-7582-4A17-9978-2CECC4DFE882}">
  <dimension ref="A1:AA87"/>
  <sheetViews>
    <sheetView workbookViewId="0">
      <selection activeCell="D5" sqref="D5"/>
    </sheetView>
  </sheetViews>
  <sheetFormatPr defaultRowHeight="15" x14ac:dyDescent="0.25"/>
  <cols>
    <col min="1" max="4" width="9.28515625" customWidth="1"/>
    <col min="5" max="5" width="17.42578125" customWidth="1"/>
    <col min="6" max="6" width="2.7109375" customWidth="1"/>
    <col min="7" max="27" width="5.7109375" customWidth="1"/>
    <col min="28" max="28" width="5.5703125"/>
  </cols>
  <sheetData>
    <row r="1" spans="3:27" ht="15.75" thickBot="1" x14ac:dyDescent="0.3"/>
    <row r="2" spans="3:27" x14ac:dyDescent="0.25">
      <c r="C2" s="31"/>
      <c r="D2" s="60" t="s">
        <v>367</v>
      </c>
      <c r="E2" s="33"/>
      <c r="G2" s="288" t="s">
        <v>130</v>
      </c>
      <c r="H2" s="271"/>
      <c r="I2" s="271"/>
      <c r="J2" s="271"/>
      <c r="K2" s="271"/>
      <c r="L2" s="271"/>
      <c r="M2" s="271"/>
      <c r="N2" s="273"/>
      <c r="U2" s="13" t="s">
        <v>514</v>
      </c>
      <c r="V2" s="98"/>
      <c r="W2" s="98"/>
      <c r="X2" s="98"/>
      <c r="Y2" s="98"/>
      <c r="Z2" s="98"/>
      <c r="AA2" s="99"/>
    </row>
    <row r="3" spans="3:27" ht="15.75" thickBot="1" x14ac:dyDescent="0.3">
      <c r="C3" s="34" t="s">
        <v>533</v>
      </c>
      <c r="D3" s="61" t="e">
        <f>IF(VLOOKUP(Race,Table_Race,20,FALSE)="S","1d10",IF(VLOOKUP(Race,Table_Race,20,FALSE)="B","3d10","2d10"))</f>
        <v>#N/A</v>
      </c>
      <c r="E3" s="35"/>
      <c r="G3" s="14" t="s">
        <v>85</v>
      </c>
      <c r="H3" s="67"/>
      <c r="I3" s="422" t="s">
        <v>405</v>
      </c>
      <c r="J3" s="422"/>
      <c r="K3" s="422" t="s">
        <v>406</v>
      </c>
      <c r="L3" s="422"/>
      <c r="M3" s="422" t="s">
        <v>16</v>
      </c>
      <c r="N3" s="454"/>
      <c r="U3" s="16">
        <v>1</v>
      </c>
      <c r="V3" s="269" t="s">
        <v>515</v>
      </c>
      <c r="W3" s="269"/>
      <c r="X3" s="269"/>
      <c r="Y3" s="269"/>
      <c r="Z3" s="269"/>
      <c r="AA3" s="270"/>
    </row>
    <row r="4" spans="3:27" ht="15.75" thickBot="1" x14ac:dyDescent="0.3">
      <c r="C4" s="34"/>
      <c r="D4" s="65"/>
      <c r="E4" s="35"/>
      <c r="G4" s="332" t="s">
        <v>131</v>
      </c>
      <c r="H4" s="269"/>
      <c r="I4" s="432"/>
      <c r="J4" s="432"/>
      <c r="K4" s="252" t="e">
        <f>VLOOKUP("Combat Training "&amp;I4,Table_Profession_Skills,VLOOKUP(Profession,Table_Profession,2,FALSE)+1,FALSE)</f>
        <v>#N/A</v>
      </c>
      <c r="L4" s="252"/>
      <c r="M4" s="455">
        <f>AG+ST+ST</f>
        <v>16</v>
      </c>
      <c r="N4" s="456"/>
      <c r="U4" s="16">
        <v>2</v>
      </c>
      <c r="V4" s="269" t="s">
        <v>516</v>
      </c>
      <c r="W4" s="269"/>
      <c r="X4" s="269"/>
      <c r="Y4" s="269"/>
      <c r="Z4" s="269"/>
      <c r="AA4" s="270"/>
    </row>
    <row r="5" spans="3:27" ht="15.75" thickBot="1" x14ac:dyDescent="0.3">
      <c r="C5" s="38"/>
      <c r="D5" s="62" t="e">
        <f>D4-IF(VLOOKUP(Race,Table_Race,20,FALSE)="S","5.5",IF(VLOOKUP(Race,Table_Race,20,FALSE)="B","16.5","11"))</f>
        <v>#N/A</v>
      </c>
      <c r="E5" s="59" t="s">
        <v>403</v>
      </c>
      <c r="G5" s="332" t="s">
        <v>133</v>
      </c>
      <c r="H5" s="269"/>
      <c r="I5" s="432"/>
      <c r="J5" s="432"/>
      <c r="K5" s="252" t="e">
        <f>VLOOKUP("Combat Training "&amp;I5,Table_Profession_Skills,VLOOKUP(Profession,Table_Profession,2,FALSE)+1,FALSE)</f>
        <v>#N/A</v>
      </c>
      <c r="L5" s="252"/>
      <c r="M5" s="455">
        <f>AG+ST+AG</f>
        <v>8</v>
      </c>
      <c r="N5" s="456"/>
      <c r="U5" s="16">
        <v>3</v>
      </c>
      <c r="V5" s="269" t="s">
        <v>517</v>
      </c>
      <c r="W5" s="269"/>
      <c r="X5" s="269"/>
      <c r="Y5" s="269"/>
      <c r="Z5" s="269"/>
      <c r="AA5" s="270"/>
    </row>
    <row r="6" spans="3:27" ht="15.75" thickBot="1" x14ac:dyDescent="0.3">
      <c r="C6" s="38"/>
      <c r="D6" s="62" t="e">
        <f>VLOOKUP(Race,Table_Race,26,FALSE)*D5</f>
        <v>#N/A</v>
      </c>
      <c r="E6" s="59" t="s">
        <v>404</v>
      </c>
      <c r="G6" s="332" t="s">
        <v>63</v>
      </c>
      <c r="H6" s="269"/>
      <c r="I6" s="432"/>
      <c r="J6" s="432"/>
      <c r="K6" s="252" t="e">
        <f>VLOOKUP("Combat Training "&amp;I6,Table_Profession_Skills,VLOOKUP(Profession,Table_Profession,2,FALSE)+1,FALSE)</f>
        <v>#N/A</v>
      </c>
      <c r="L6" s="252"/>
      <c r="M6" s="455">
        <f>AG+ST+ST</f>
        <v>16</v>
      </c>
      <c r="N6" s="456"/>
      <c r="U6" s="16">
        <v>4</v>
      </c>
      <c r="V6" s="269" t="s">
        <v>615</v>
      </c>
      <c r="W6" s="269"/>
      <c r="X6" s="269"/>
      <c r="Y6" s="269"/>
      <c r="Z6" s="269"/>
      <c r="AA6" s="270"/>
    </row>
    <row r="7" spans="3:27" ht="15.75" thickBot="1" x14ac:dyDescent="0.3">
      <c r="G7" s="321" t="s">
        <v>132</v>
      </c>
      <c r="H7" s="277"/>
      <c r="I7" s="404"/>
      <c r="J7" s="404"/>
      <c r="K7" s="460" t="e">
        <f>VLOOKUP("Combat Training "&amp;I7,Table_Profession_Skills,VLOOKUP(Profession,Table_Profession,2,FALSE)+1,FALSE)</f>
        <v>#N/A</v>
      </c>
      <c r="L7" s="460"/>
      <c r="M7" s="68">
        <f>AG+ST+AG</f>
        <v>8</v>
      </c>
      <c r="N7" s="69">
        <f>AG+ST+ST</f>
        <v>16</v>
      </c>
      <c r="U7" s="16">
        <v>5</v>
      </c>
      <c r="V7" s="269" t="s">
        <v>518</v>
      </c>
      <c r="W7" s="269"/>
      <c r="X7" s="269"/>
      <c r="Y7" s="269"/>
      <c r="Z7" s="269"/>
      <c r="AA7" s="270"/>
    </row>
    <row r="8" spans="3:27" ht="15.75" thickBot="1" x14ac:dyDescent="0.3">
      <c r="C8" s="31"/>
      <c r="D8" s="60" t="s">
        <v>12</v>
      </c>
      <c r="E8" s="33"/>
      <c r="U8" s="16">
        <v>6</v>
      </c>
      <c r="V8" s="269" t="s">
        <v>616</v>
      </c>
      <c r="W8" s="269"/>
      <c r="X8" s="269"/>
      <c r="Y8" s="269"/>
      <c r="Z8" s="269"/>
      <c r="AA8" s="270"/>
    </row>
    <row r="9" spans="3:27" ht="15.75" thickBot="1" x14ac:dyDescent="0.3">
      <c r="C9" s="34" t="s">
        <v>533</v>
      </c>
      <c r="D9" s="61" t="s">
        <v>402</v>
      </c>
      <c r="E9" s="35"/>
      <c r="G9" s="457" t="s">
        <v>407</v>
      </c>
      <c r="H9" s="458"/>
      <c r="I9" s="458"/>
      <c r="J9" s="458"/>
      <c r="K9" s="458"/>
      <c r="L9" s="458"/>
      <c r="M9" s="458"/>
      <c r="N9" s="458"/>
      <c r="O9" s="458"/>
      <c r="P9" s="458"/>
      <c r="Q9" s="458"/>
      <c r="R9" s="458"/>
      <c r="S9" s="459"/>
      <c r="U9" s="16">
        <v>7</v>
      </c>
      <c r="V9" s="269" t="s">
        <v>617</v>
      </c>
      <c r="W9" s="269"/>
      <c r="X9" s="269"/>
      <c r="Y9" s="269"/>
      <c r="Z9" s="269"/>
      <c r="AA9" s="270"/>
    </row>
    <row r="10" spans="3:27" ht="15.75" thickBot="1" x14ac:dyDescent="0.3">
      <c r="C10" s="34"/>
      <c r="D10" s="65"/>
      <c r="E10" s="35"/>
      <c r="G10" s="332" t="s">
        <v>8</v>
      </c>
      <c r="H10" s="269"/>
      <c r="I10" s="252">
        <f>Culture</f>
        <v>0</v>
      </c>
      <c r="J10" s="252"/>
      <c r="K10" s="252"/>
      <c r="L10" s="432" t="s">
        <v>409</v>
      </c>
      <c r="M10" s="432"/>
      <c r="N10" s="432"/>
      <c r="O10" s="432"/>
      <c r="P10" s="432" t="s">
        <v>89</v>
      </c>
      <c r="Q10" s="432"/>
      <c r="S10" s="35"/>
      <c r="U10" s="16">
        <v>8</v>
      </c>
      <c r="V10" s="269" t="s">
        <v>618</v>
      </c>
      <c r="W10" s="269"/>
      <c r="X10" s="269"/>
      <c r="Y10" s="269"/>
      <c r="Z10" s="269"/>
      <c r="AA10" s="270"/>
    </row>
    <row r="11" spans="3:27" x14ac:dyDescent="0.25">
      <c r="C11" s="34"/>
      <c r="D11" s="63" t="str">
        <f>IF(D10&lt;4,"Light",IF(D10&gt;7,"Heavy","Medium"))</f>
        <v>Light</v>
      </c>
      <c r="E11" s="35" t="s">
        <v>13</v>
      </c>
      <c r="G11" s="226" t="s">
        <v>408</v>
      </c>
      <c r="H11" s="305" t="s">
        <v>101</v>
      </c>
      <c r="I11" s="305"/>
      <c r="J11" s="305"/>
      <c r="K11" s="305"/>
      <c r="L11" s="431"/>
      <c r="M11" s="431"/>
      <c r="N11" s="431"/>
      <c r="O11" s="431"/>
      <c r="P11" s="432" t="e">
        <f t="shared" ref="P11:P25" si="0">VLOOKUP(H11,Table_Culture_Ranks,VLOOKUP(Culture,Table_Culture,2,FALSE)+1,FALSE)</f>
        <v>#N/A</v>
      </c>
      <c r="Q11" s="432"/>
      <c r="S11" s="35"/>
      <c r="U11" s="16">
        <v>9</v>
      </c>
      <c r="V11" s="269" t="s">
        <v>520</v>
      </c>
      <c r="W11" s="269"/>
      <c r="X11" s="269"/>
      <c r="Y11" s="269"/>
      <c r="Z11" s="269"/>
      <c r="AA11" s="270"/>
    </row>
    <row r="12" spans="3:27" ht="15.75" thickBot="1" x14ac:dyDescent="0.3">
      <c r="C12" s="34" t="s">
        <v>533</v>
      </c>
      <c r="D12" s="61" t="str">
        <f>IF(OR(D10&lt;4,D10&gt;7),"3d10","2d10")</f>
        <v>3d10</v>
      </c>
      <c r="E12" s="35"/>
      <c r="G12" s="226"/>
      <c r="H12" s="305" t="s">
        <v>102</v>
      </c>
      <c r="I12" s="305"/>
      <c r="J12" s="305"/>
      <c r="K12" s="305"/>
      <c r="L12" s="431"/>
      <c r="M12" s="431"/>
      <c r="N12" s="431"/>
      <c r="O12" s="431"/>
      <c r="P12" s="432" t="e">
        <f t="shared" si="0"/>
        <v>#N/A</v>
      </c>
      <c r="Q12" s="432"/>
      <c r="S12" s="35"/>
      <c r="U12" s="16">
        <v>10</v>
      </c>
      <c r="V12" s="269" t="s">
        <v>521</v>
      </c>
      <c r="W12" s="269"/>
      <c r="X12" s="269"/>
      <c r="Y12" s="269"/>
      <c r="Z12" s="269"/>
      <c r="AA12" s="270"/>
    </row>
    <row r="13" spans="3:27" ht="15.75" thickBot="1" x14ac:dyDescent="0.3">
      <c r="C13" s="34"/>
      <c r="D13" s="65"/>
      <c r="E13" s="35"/>
      <c r="G13" s="226"/>
      <c r="H13" s="305" t="s">
        <v>315</v>
      </c>
      <c r="I13" s="305"/>
      <c r="J13" s="305"/>
      <c r="K13" s="305"/>
      <c r="L13" s="431"/>
      <c r="M13" s="431"/>
      <c r="N13" s="431"/>
      <c r="O13" s="431"/>
      <c r="P13" s="432" t="e">
        <f t="shared" si="0"/>
        <v>#N/A</v>
      </c>
      <c r="Q13" s="432"/>
      <c r="S13" s="35"/>
      <c r="U13" s="16">
        <v>11</v>
      </c>
      <c r="V13" s="269" t="s">
        <v>519</v>
      </c>
      <c r="W13" s="269"/>
      <c r="X13" s="269"/>
      <c r="Y13" s="269"/>
      <c r="Z13" s="269"/>
      <c r="AA13" s="270"/>
    </row>
    <row r="14" spans="3:27" ht="15.75" thickBot="1" x14ac:dyDescent="0.3">
      <c r="C14" s="38"/>
      <c r="D14" s="64">
        <f>IF(D10&lt;4,(-D13/100),IF(D10&gt;7,(D13/100),(D13-11)/100))</f>
        <v>0</v>
      </c>
      <c r="E14" s="59" t="s">
        <v>403</v>
      </c>
      <c r="G14" s="226"/>
      <c r="H14" s="305" t="s">
        <v>120</v>
      </c>
      <c r="I14" s="305"/>
      <c r="J14" s="305"/>
      <c r="K14" s="305"/>
      <c r="L14" s="431"/>
      <c r="M14" s="431"/>
      <c r="N14" s="431"/>
      <c r="O14" s="431"/>
      <c r="P14" s="432" t="e">
        <f t="shared" si="0"/>
        <v>#N/A</v>
      </c>
      <c r="Q14" s="432"/>
      <c r="S14" s="35"/>
      <c r="U14" s="16">
        <v>12</v>
      </c>
      <c r="V14" s="269" t="s">
        <v>522</v>
      </c>
      <c r="W14" s="269"/>
      <c r="X14" s="269"/>
      <c r="Y14" s="269"/>
      <c r="Z14" s="269"/>
      <c r="AA14" s="270"/>
    </row>
    <row r="15" spans="3:27" x14ac:dyDescent="0.25">
      <c r="G15" s="226"/>
      <c r="H15" s="305" t="s">
        <v>316</v>
      </c>
      <c r="I15" s="305"/>
      <c r="J15" s="305"/>
      <c r="K15" s="305"/>
      <c r="L15" s="431"/>
      <c r="M15" s="431"/>
      <c r="N15" s="431"/>
      <c r="O15" s="431"/>
      <c r="P15" s="432" t="e">
        <f t="shared" si="0"/>
        <v>#N/A</v>
      </c>
      <c r="Q15" s="432"/>
      <c r="S15" s="35"/>
      <c r="U15" s="16">
        <v>13</v>
      </c>
      <c r="V15" s="269" t="s">
        <v>523</v>
      </c>
      <c r="W15" s="269"/>
      <c r="X15" s="269"/>
      <c r="Y15" s="269"/>
      <c r="Z15" s="269"/>
      <c r="AA15" s="270"/>
    </row>
    <row r="16" spans="3:27" x14ac:dyDescent="0.25">
      <c r="G16" s="226"/>
      <c r="H16" s="305" t="s">
        <v>157</v>
      </c>
      <c r="I16" s="305"/>
      <c r="J16" s="305"/>
      <c r="K16" s="305"/>
      <c r="L16" s="431"/>
      <c r="M16" s="431"/>
      <c r="N16" s="431"/>
      <c r="O16" s="431"/>
      <c r="P16" s="432" t="e">
        <f t="shared" si="0"/>
        <v>#N/A</v>
      </c>
      <c r="Q16" s="432"/>
      <c r="S16" s="35"/>
      <c r="U16" s="14"/>
      <c r="V16" s="67" t="s">
        <v>524</v>
      </c>
      <c r="W16" s="269" t="s">
        <v>526</v>
      </c>
      <c r="X16" s="269"/>
      <c r="Y16" s="269"/>
      <c r="Z16" s="269"/>
      <c r="AA16" s="270"/>
    </row>
    <row r="17" spans="1:27" ht="15.75" thickBot="1" x14ac:dyDescent="0.3">
      <c r="G17" s="226"/>
      <c r="H17" s="305" t="s">
        <v>158</v>
      </c>
      <c r="I17" s="305"/>
      <c r="J17" s="305"/>
      <c r="K17" s="305"/>
      <c r="L17" s="431"/>
      <c r="M17" s="431"/>
      <c r="N17" s="431"/>
      <c r="O17" s="431"/>
      <c r="P17" s="432" t="e">
        <f t="shared" si="0"/>
        <v>#N/A</v>
      </c>
      <c r="Q17" s="432"/>
      <c r="S17" s="35"/>
      <c r="U17" s="14"/>
      <c r="V17" s="67" t="s">
        <v>525</v>
      </c>
      <c r="W17" s="269" t="s">
        <v>522</v>
      </c>
      <c r="X17" s="269"/>
      <c r="Y17" s="269"/>
      <c r="Z17" s="269"/>
      <c r="AA17" s="270"/>
    </row>
    <row r="18" spans="1:27" ht="15.75" thickBot="1" x14ac:dyDescent="0.3">
      <c r="C18" s="428" t="s">
        <v>459</v>
      </c>
      <c r="D18" s="429"/>
      <c r="E18" s="430"/>
      <c r="G18" s="226"/>
      <c r="H18" s="305" t="s">
        <v>159</v>
      </c>
      <c r="I18" s="305"/>
      <c r="J18" s="305"/>
      <c r="K18" s="305"/>
      <c r="L18" s="439" t="s">
        <v>413</v>
      </c>
      <c r="M18" s="439"/>
      <c r="N18" s="439"/>
      <c r="O18" s="439"/>
      <c r="P18" s="432" t="e">
        <f t="shared" si="0"/>
        <v>#N/A</v>
      </c>
      <c r="Q18" s="432"/>
      <c r="S18" s="35"/>
      <c r="U18" s="127">
        <v>14</v>
      </c>
      <c r="V18" s="277" t="s">
        <v>527</v>
      </c>
      <c r="W18" s="277"/>
      <c r="X18" s="277"/>
      <c r="Y18" s="277"/>
      <c r="Z18" s="277"/>
      <c r="AA18" s="278"/>
    </row>
    <row r="19" spans="1:27" x14ac:dyDescent="0.25">
      <c r="C19" s="34" t="s">
        <v>334</v>
      </c>
      <c r="E19" s="35"/>
      <c r="G19" s="226"/>
      <c r="H19" s="305" t="s">
        <v>162</v>
      </c>
      <c r="I19" s="305"/>
      <c r="J19" s="305"/>
      <c r="K19" s="305"/>
      <c r="L19" s="431"/>
      <c r="M19" s="431"/>
      <c r="N19" s="431"/>
      <c r="O19" s="431"/>
      <c r="P19" s="432" t="e">
        <f t="shared" si="0"/>
        <v>#N/A</v>
      </c>
      <c r="Q19" s="432"/>
      <c r="S19" s="35"/>
    </row>
    <row r="20" spans="1:27" x14ac:dyDescent="0.25">
      <c r="C20" s="89" t="s">
        <v>337</v>
      </c>
      <c r="D20" s="132"/>
      <c r="E20" s="133"/>
      <c r="G20" s="226"/>
      <c r="H20" s="305" t="s">
        <v>164</v>
      </c>
      <c r="I20" s="305"/>
      <c r="J20" s="305"/>
      <c r="K20" s="305"/>
      <c r="L20" s="431"/>
      <c r="M20" s="431"/>
      <c r="N20" s="431"/>
      <c r="O20" s="431"/>
      <c r="P20" s="432" t="e">
        <f t="shared" si="0"/>
        <v>#N/A</v>
      </c>
      <c r="Q20" s="432"/>
      <c r="S20" s="35"/>
    </row>
    <row r="21" spans="1:27" x14ac:dyDescent="0.25">
      <c r="C21" s="89" t="s">
        <v>338</v>
      </c>
      <c r="D21" s="132"/>
      <c r="E21" s="133"/>
      <c r="G21" s="226"/>
      <c r="H21" s="305" t="s">
        <v>173</v>
      </c>
      <c r="I21" s="305"/>
      <c r="J21" s="305"/>
      <c r="K21" s="305"/>
      <c r="L21" s="431"/>
      <c r="M21" s="431"/>
      <c r="N21" s="431"/>
      <c r="O21" s="431"/>
      <c r="P21" s="432" t="e">
        <f t="shared" si="0"/>
        <v>#N/A</v>
      </c>
      <c r="Q21" s="432"/>
      <c r="S21" s="35"/>
    </row>
    <row r="22" spans="1:27" x14ac:dyDescent="0.25">
      <c r="C22" s="89" t="s">
        <v>340</v>
      </c>
      <c r="D22" s="132"/>
      <c r="E22" s="133"/>
      <c r="G22" s="226"/>
      <c r="H22" s="305" t="s">
        <v>184</v>
      </c>
      <c r="I22" s="305"/>
      <c r="J22" s="305"/>
      <c r="K22" s="305"/>
      <c r="L22" s="431"/>
      <c r="M22" s="431"/>
      <c r="N22" s="431"/>
      <c r="O22" s="431"/>
      <c r="P22" s="432" t="e">
        <f t="shared" si="0"/>
        <v>#N/A</v>
      </c>
      <c r="Q22" s="432"/>
      <c r="S22" s="35"/>
    </row>
    <row r="23" spans="1:27" x14ac:dyDescent="0.25">
      <c r="C23" s="34" t="s">
        <v>343</v>
      </c>
      <c r="E23" s="35"/>
      <c r="G23" s="226"/>
      <c r="H23" s="305" t="s">
        <v>185</v>
      </c>
      <c r="I23" s="305"/>
      <c r="J23" s="305"/>
      <c r="K23" s="305"/>
      <c r="L23" s="431"/>
      <c r="M23" s="431"/>
      <c r="N23" s="431"/>
      <c r="O23" s="431"/>
      <c r="P23" s="432" t="e">
        <f t="shared" si="0"/>
        <v>#N/A</v>
      </c>
      <c r="Q23" s="432"/>
      <c r="S23" s="35"/>
    </row>
    <row r="24" spans="1:27" x14ac:dyDescent="0.25">
      <c r="C24" s="89" t="s">
        <v>344</v>
      </c>
      <c r="D24" s="132"/>
      <c r="E24" s="133"/>
      <c r="G24" s="226"/>
      <c r="H24" s="305" t="s">
        <v>193</v>
      </c>
      <c r="I24" s="305"/>
      <c r="J24" s="305"/>
      <c r="K24" s="305"/>
      <c r="L24" s="431"/>
      <c r="M24" s="431"/>
      <c r="N24" s="431"/>
      <c r="O24" s="431"/>
      <c r="P24" s="432" t="e">
        <f t="shared" si="0"/>
        <v>#N/A</v>
      </c>
      <c r="Q24" s="432"/>
      <c r="S24" s="35"/>
    </row>
    <row r="25" spans="1:27" x14ac:dyDescent="0.25">
      <c r="C25" s="34" t="s">
        <v>347</v>
      </c>
      <c r="E25" s="35"/>
      <c r="G25" s="226"/>
      <c r="H25" s="305" t="s">
        <v>195</v>
      </c>
      <c r="I25" s="305"/>
      <c r="J25" s="305"/>
      <c r="K25" s="305"/>
      <c r="L25" s="431"/>
      <c r="M25" s="431"/>
      <c r="N25" s="431"/>
      <c r="O25" s="431"/>
      <c r="P25" s="432" t="e">
        <f t="shared" si="0"/>
        <v>#N/A</v>
      </c>
      <c r="Q25" s="432"/>
      <c r="S25" s="35"/>
    </row>
    <row r="26" spans="1:27" ht="15.75" thickBot="1" x14ac:dyDescent="0.3">
      <c r="C26" s="38" t="s">
        <v>349</v>
      </c>
      <c r="D26" s="75"/>
      <c r="E26" s="59"/>
      <c r="G26" s="226"/>
      <c r="H26" s="305" t="s">
        <v>172</v>
      </c>
      <c r="I26" s="305"/>
      <c r="J26" s="305"/>
      <c r="K26" s="305"/>
      <c r="L26" s="439" t="s">
        <v>413</v>
      </c>
      <c r="M26" s="439"/>
      <c r="N26" s="439"/>
      <c r="O26" s="439"/>
      <c r="P26" s="432" t="e">
        <f>VLOOKUP("Region (Own)",Table_Culture_Ranks,VLOOKUP(Culture,Table_Culture,2,FALSE)+1,FALSE)</f>
        <v>#N/A</v>
      </c>
      <c r="Q26" s="432"/>
      <c r="R26" s="1"/>
      <c r="S26" s="18"/>
    </row>
    <row r="27" spans="1:27" x14ac:dyDescent="0.25">
      <c r="G27" s="226"/>
      <c r="H27" s="305" t="s">
        <v>172</v>
      </c>
      <c r="I27" s="305"/>
      <c r="J27" s="305"/>
      <c r="K27" s="305"/>
      <c r="L27" s="439" t="s">
        <v>414</v>
      </c>
      <c r="M27" s="439"/>
      <c r="N27" s="439"/>
      <c r="O27" s="439"/>
      <c r="P27" s="432" t="e">
        <f>VLOOKUP("Region (Neighboring)",Table_Culture_Ranks,VLOOKUP(Culture,Table_Culture,2,FALSE)+1,FALSE)</f>
        <v>#N/A</v>
      </c>
      <c r="Q27" s="432"/>
      <c r="R27" s="1"/>
      <c r="S27" s="18"/>
    </row>
    <row r="28" spans="1:27" ht="15.75" thickBot="1" x14ac:dyDescent="0.3">
      <c r="G28" s="226"/>
      <c r="H28" s="305" t="s">
        <v>196</v>
      </c>
      <c r="I28" s="305"/>
      <c r="J28" s="305"/>
      <c r="K28" s="305"/>
      <c r="L28" s="441"/>
      <c r="M28" s="441"/>
      <c r="N28" s="441"/>
      <c r="O28" s="441"/>
      <c r="P28" s="432" t="e">
        <f>VLOOKUP(H28,Table_Culture_Ranks,VLOOKUP(Culture,Table_Culture,2,FALSE)+1,FALSE)</f>
        <v>#N/A</v>
      </c>
      <c r="Q28" s="432"/>
      <c r="S28" s="35"/>
    </row>
    <row r="29" spans="1:27" x14ac:dyDescent="0.25">
      <c r="A29" s="427" t="s">
        <v>513</v>
      </c>
      <c r="B29" s="317"/>
      <c r="C29" s="317"/>
      <c r="D29" s="317"/>
      <c r="E29" s="134" t="s">
        <v>439</v>
      </c>
      <c r="G29" s="226"/>
      <c r="H29" s="305" t="s">
        <v>222</v>
      </c>
      <c r="I29" s="305"/>
      <c r="J29" s="305"/>
      <c r="K29" s="305"/>
      <c r="L29" s="441"/>
      <c r="M29" s="441"/>
      <c r="N29" s="441"/>
      <c r="O29" s="441"/>
      <c r="P29" s="432" t="e">
        <f>VLOOKUP(H29,Table_Culture_Ranks,VLOOKUP(Culture,Table_Culture,2,FALSE)+1,FALSE)</f>
        <v>#N/A</v>
      </c>
      <c r="Q29" s="432"/>
      <c r="S29" s="35"/>
    </row>
    <row r="30" spans="1:27" x14ac:dyDescent="0.25">
      <c r="A30" s="34" t="s">
        <v>327</v>
      </c>
      <c r="B30" s="1"/>
      <c r="C30" s="1"/>
      <c r="D30" s="1"/>
      <c r="E30" s="126">
        <f t="shared" ref="E30:E39" si="1">MAX(B30:D30)</f>
        <v>0</v>
      </c>
      <c r="G30" s="226"/>
      <c r="H30" s="305" t="s">
        <v>223</v>
      </c>
      <c r="I30" s="305"/>
      <c r="J30" s="305"/>
      <c r="K30" s="305"/>
      <c r="L30" s="441"/>
      <c r="M30" s="441"/>
      <c r="N30" s="441"/>
      <c r="O30" s="441"/>
      <c r="P30" s="432" t="e">
        <f>VLOOKUP(H30,Table_Culture_Ranks,VLOOKUP(Culture,Table_Culture,2,FALSE)+1,FALSE)</f>
        <v>#N/A</v>
      </c>
      <c r="Q30" s="432"/>
      <c r="S30" s="35"/>
    </row>
    <row r="31" spans="1:27" x14ac:dyDescent="0.25">
      <c r="A31" s="34" t="s">
        <v>78</v>
      </c>
      <c r="B31" s="1"/>
      <c r="C31" s="1"/>
      <c r="D31" s="1"/>
      <c r="E31" s="126">
        <f t="shared" si="1"/>
        <v>0</v>
      </c>
      <c r="G31" s="226"/>
      <c r="H31" s="305" t="s">
        <v>229</v>
      </c>
      <c r="I31" s="305"/>
      <c r="J31" s="305"/>
      <c r="K31" s="305"/>
      <c r="L31" s="441"/>
      <c r="M31" s="441"/>
      <c r="N31" s="441"/>
      <c r="O31" s="441"/>
      <c r="P31" s="432" t="e">
        <f>VLOOKUP(H31,Table_Culture_Ranks,VLOOKUP(Culture,Table_Culture,2,FALSE)+1,FALSE)</f>
        <v>#N/A</v>
      </c>
      <c r="Q31" s="432"/>
      <c r="R31" s="452" t="s">
        <v>410</v>
      </c>
      <c r="S31" s="453"/>
    </row>
    <row r="32" spans="1:27" x14ac:dyDescent="0.25">
      <c r="A32" s="34" t="s">
        <v>76</v>
      </c>
      <c r="B32" s="1"/>
      <c r="C32" s="1"/>
      <c r="D32" s="1"/>
      <c r="E32" s="126">
        <f t="shared" si="1"/>
        <v>0</v>
      </c>
      <c r="G32" s="450"/>
      <c r="H32" s="305" t="s">
        <v>230</v>
      </c>
      <c r="I32" s="305"/>
      <c r="J32" s="305"/>
      <c r="K32" s="305"/>
      <c r="L32" s="451"/>
      <c r="M32" s="451"/>
      <c r="N32" s="451"/>
      <c r="O32" s="451"/>
      <c r="P32" s="432" t="e">
        <f>VLOOKUP(H32,Table_Culture_Ranks,VLOOKUP(Culture,Table_Culture,2,FALSE)+1,FALSE)</f>
        <v>#N/A</v>
      </c>
      <c r="Q32" s="432"/>
      <c r="R32" s="452"/>
      <c r="S32" s="453"/>
    </row>
    <row r="33" spans="1:19" x14ac:dyDescent="0.25">
      <c r="A33" s="34" t="s">
        <v>75</v>
      </c>
      <c r="B33" s="1"/>
      <c r="C33" s="1"/>
      <c r="D33" s="1"/>
      <c r="E33" s="126">
        <f t="shared" si="1"/>
        <v>0</v>
      </c>
      <c r="G33" s="449" t="s">
        <v>415</v>
      </c>
      <c r="H33" s="394" t="s">
        <v>94</v>
      </c>
      <c r="I33" s="394"/>
      <c r="J33" s="394"/>
      <c r="K33" s="394"/>
      <c r="L33" s="446" t="s">
        <v>416</v>
      </c>
      <c r="M33" s="446"/>
      <c r="N33" s="446"/>
      <c r="O33" s="446"/>
      <c r="P33" s="447"/>
      <c r="Q33" s="447"/>
      <c r="R33" s="433" t="e">
        <f>VLOOKUP(H33,Table_Culture_Ranks,VLOOKUP(Culture,Table_Culture,2,FALSE)+1,FALSE)</f>
        <v>#N/A</v>
      </c>
      <c r="S33" s="434"/>
    </row>
    <row r="34" spans="1:19" x14ac:dyDescent="0.25">
      <c r="A34" s="34" t="s">
        <v>328</v>
      </c>
      <c r="B34" s="1"/>
      <c r="C34" s="1"/>
      <c r="D34" s="1"/>
      <c r="E34" s="126">
        <f t="shared" si="1"/>
        <v>0</v>
      </c>
      <c r="G34" s="226"/>
      <c r="H34" s="445" t="s">
        <v>94</v>
      </c>
      <c r="I34" s="445"/>
      <c r="J34" s="445"/>
      <c r="K34" s="445"/>
      <c r="L34" s="448" t="s">
        <v>417</v>
      </c>
      <c r="M34" s="448"/>
      <c r="N34" s="448"/>
      <c r="O34" s="448"/>
      <c r="P34" s="373"/>
      <c r="Q34" s="373"/>
      <c r="R34" s="437"/>
      <c r="S34" s="438"/>
    </row>
    <row r="35" spans="1:19" x14ac:dyDescent="0.25">
      <c r="A35" s="34" t="s">
        <v>77</v>
      </c>
      <c r="B35" s="1"/>
      <c r="C35" s="1"/>
      <c r="D35" s="1"/>
      <c r="E35" s="126">
        <f t="shared" si="1"/>
        <v>0</v>
      </c>
      <c r="G35" s="226"/>
      <c r="H35" s="394" t="s">
        <v>95</v>
      </c>
      <c r="I35" s="394"/>
      <c r="J35" s="394"/>
      <c r="K35" s="394"/>
      <c r="L35" s="446" t="s">
        <v>417</v>
      </c>
      <c r="M35" s="446"/>
      <c r="N35" s="446"/>
      <c r="O35" s="446"/>
      <c r="P35" s="447"/>
      <c r="Q35" s="447"/>
      <c r="R35" s="433" t="e">
        <f>VLOOKUP(H35,Table_Culture_Ranks,VLOOKUP(Culture,Table_Culture,2,FALSE)+1,FALSE)</f>
        <v>#N/A</v>
      </c>
      <c r="S35" s="434"/>
    </row>
    <row r="36" spans="1:19" x14ac:dyDescent="0.25">
      <c r="A36" s="34" t="s">
        <v>329</v>
      </c>
      <c r="B36" s="1"/>
      <c r="C36" s="1"/>
      <c r="D36" s="1"/>
      <c r="E36" s="126">
        <f t="shared" si="1"/>
        <v>0</v>
      </c>
      <c r="G36" s="226"/>
      <c r="H36" s="445" t="s">
        <v>95</v>
      </c>
      <c r="I36" s="445"/>
      <c r="J36" s="445"/>
      <c r="K36" s="445"/>
      <c r="L36" s="448"/>
      <c r="M36" s="448"/>
      <c r="N36" s="448"/>
      <c r="O36" s="448"/>
      <c r="P36" s="373"/>
      <c r="Q36" s="373"/>
      <c r="R36" s="437"/>
      <c r="S36" s="438"/>
    </row>
    <row r="37" spans="1:19" x14ac:dyDescent="0.25">
      <c r="A37" s="34" t="s">
        <v>330</v>
      </c>
      <c r="B37" s="1"/>
      <c r="C37" s="1"/>
      <c r="D37" s="1"/>
      <c r="E37" s="126">
        <f t="shared" si="1"/>
        <v>0</v>
      </c>
      <c r="G37" s="226"/>
      <c r="H37" s="394" t="s">
        <v>132</v>
      </c>
      <c r="I37" s="394"/>
      <c r="J37" s="394"/>
      <c r="K37" s="394"/>
      <c r="L37" s="446" t="s">
        <v>476</v>
      </c>
      <c r="M37" s="446"/>
      <c r="N37" s="446"/>
      <c r="O37" s="446"/>
      <c r="P37" s="447"/>
      <c r="Q37" s="447"/>
      <c r="R37" s="433" t="e">
        <f>VLOOKUP(H37,Table_Culture_Ranks,VLOOKUP(Culture,Table_Culture,2,FALSE)+1,FALSE)</f>
        <v>#N/A</v>
      </c>
      <c r="S37" s="434"/>
    </row>
    <row r="38" spans="1:19" x14ac:dyDescent="0.25">
      <c r="A38" s="34" t="s">
        <v>79</v>
      </c>
      <c r="B38" s="1"/>
      <c r="C38" s="1"/>
      <c r="D38" s="1"/>
      <c r="E38" s="126">
        <f t="shared" si="1"/>
        <v>0</v>
      </c>
      <c r="G38" s="226"/>
      <c r="H38" s="305" t="s">
        <v>132</v>
      </c>
      <c r="I38" s="305"/>
      <c r="J38" s="305"/>
      <c r="K38" s="305"/>
      <c r="L38" s="439" t="s">
        <v>477</v>
      </c>
      <c r="M38" s="439"/>
      <c r="N38" s="439"/>
      <c r="O38" s="439"/>
      <c r="P38" s="432"/>
      <c r="Q38" s="432"/>
      <c r="R38" s="435"/>
      <c r="S38" s="436"/>
    </row>
    <row r="39" spans="1:19" x14ac:dyDescent="0.25">
      <c r="A39" s="34" t="s">
        <v>331</v>
      </c>
      <c r="B39" s="1"/>
      <c r="C39" s="1"/>
      <c r="D39" s="1"/>
      <c r="E39" s="126">
        <f t="shared" si="1"/>
        <v>0</v>
      </c>
      <c r="G39" s="226"/>
      <c r="H39" s="445" t="s">
        <v>132</v>
      </c>
      <c r="I39" s="445"/>
      <c r="J39" s="445"/>
      <c r="K39" s="445"/>
      <c r="L39" s="448" t="s">
        <v>437</v>
      </c>
      <c r="M39" s="448"/>
      <c r="N39" s="448"/>
      <c r="O39" s="448"/>
      <c r="P39" s="373"/>
      <c r="Q39" s="373"/>
      <c r="R39" s="437"/>
      <c r="S39" s="438"/>
    </row>
    <row r="40" spans="1:19" ht="15.75" thickBot="1" x14ac:dyDescent="0.3">
      <c r="A40" s="38"/>
      <c r="B40" s="43" t="s">
        <v>460</v>
      </c>
      <c r="C40" s="43" t="s">
        <v>461</v>
      </c>
      <c r="D40" s="43" t="s">
        <v>462</v>
      </c>
      <c r="E40" s="135">
        <f>AVERAGE(E30:E39)</f>
        <v>0</v>
      </c>
      <c r="G40" s="226"/>
      <c r="H40" s="394" t="s">
        <v>317</v>
      </c>
      <c r="I40" s="394"/>
      <c r="J40" s="394"/>
      <c r="K40" s="394"/>
      <c r="L40" s="446" t="s">
        <v>463</v>
      </c>
      <c r="M40" s="446"/>
      <c r="N40" s="446"/>
      <c r="O40" s="446"/>
      <c r="P40" s="447"/>
      <c r="Q40" s="447"/>
      <c r="R40" s="433" t="e">
        <f>VLOOKUP(H40,Table_Culture_Ranks,VLOOKUP(Culture,Table_Culture,2,FALSE)+1,FALSE)</f>
        <v>#N/A</v>
      </c>
      <c r="S40" s="434"/>
    </row>
    <row r="41" spans="1:19" x14ac:dyDescent="0.25">
      <c r="B41" s="107"/>
      <c r="G41" s="226"/>
      <c r="H41" s="305" t="s">
        <v>317</v>
      </c>
      <c r="I41" s="305"/>
      <c r="J41" s="305"/>
      <c r="K41" s="305"/>
      <c r="L41" s="439" t="s">
        <v>464</v>
      </c>
      <c r="M41" s="439"/>
      <c r="N41" s="439"/>
      <c r="O41" s="439"/>
      <c r="P41" s="432"/>
      <c r="Q41" s="432"/>
      <c r="R41" s="435"/>
      <c r="S41" s="436"/>
    </row>
    <row r="42" spans="1:19" x14ac:dyDescent="0.25">
      <c r="G42" s="226"/>
      <c r="H42" s="305" t="s">
        <v>317</v>
      </c>
      <c r="I42" s="305"/>
      <c r="J42" s="305"/>
      <c r="K42" s="305"/>
      <c r="L42" s="439" t="s">
        <v>465</v>
      </c>
      <c r="M42" s="439"/>
      <c r="N42" s="439"/>
      <c r="O42" s="439"/>
      <c r="P42" s="432"/>
      <c r="Q42" s="432"/>
      <c r="R42" s="435"/>
      <c r="S42" s="436"/>
    </row>
    <row r="43" spans="1:19" x14ac:dyDescent="0.25">
      <c r="G43" s="226"/>
      <c r="H43" s="305" t="s">
        <v>317</v>
      </c>
      <c r="I43" s="305"/>
      <c r="J43" s="305"/>
      <c r="K43" s="305"/>
      <c r="L43" s="439" t="s">
        <v>466</v>
      </c>
      <c r="M43" s="439"/>
      <c r="N43" s="439"/>
      <c r="O43" s="439"/>
      <c r="P43" s="432"/>
      <c r="Q43" s="432"/>
      <c r="R43" s="435"/>
      <c r="S43" s="436"/>
    </row>
    <row r="44" spans="1:19" x14ac:dyDescent="0.25">
      <c r="G44" s="226"/>
      <c r="H44" s="305" t="s">
        <v>317</v>
      </c>
      <c r="I44" s="305"/>
      <c r="J44" s="305"/>
      <c r="K44" s="305"/>
      <c r="L44" s="439" t="s">
        <v>467</v>
      </c>
      <c r="M44" s="439"/>
      <c r="N44" s="439"/>
      <c r="O44" s="439"/>
      <c r="P44" s="432"/>
      <c r="Q44" s="432"/>
      <c r="R44" s="435"/>
      <c r="S44" s="436"/>
    </row>
    <row r="45" spans="1:19" x14ac:dyDescent="0.25">
      <c r="G45" s="226"/>
      <c r="H45" s="305" t="s">
        <v>317</v>
      </c>
      <c r="I45" s="305"/>
      <c r="J45" s="305"/>
      <c r="K45" s="305"/>
      <c r="L45" s="439" t="s">
        <v>468</v>
      </c>
      <c r="M45" s="439"/>
      <c r="N45" s="439"/>
      <c r="O45" s="439"/>
      <c r="P45" s="432"/>
      <c r="Q45" s="432"/>
      <c r="R45" s="435"/>
      <c r="S45" s="436"/>
    </row>
    <row r="46" spans="1:19" x14ac:dyDescent="0.25">
      <c r="G46" s="226"/>
      <c r="H46" s="305" t="s">
        <v>317</v>
      </c>
      <c r="I46" s="305"/>
      <c r="J46" s="305"/>
      <c r="K46" s="305"/>
      <c r="L46" s="439" t="s">
        <v>469</v>
      </c>
      <c r="M46" s="439"/>
      <c r="N46" s="439"/>
      <c r="O46" s="439"/>
      <c r="P46" s="432"/>
      <c r="Q46" s="432"/>
      <c r="R46" s="435"/>
      <c r="S46" s="436"/>
    </row>
    <row r="47" spans="1:19" x14ac:dyDescent="0.25">
      <c r="G47" s="226"/>
      <c r="H47" s="445" t="s">
        <v>317</v>
      </c>
      <c r="I47" s="445"/>
      <c r="J47" s="445"/>
      <c r="K47" s="445"/>
      <c r="L47" s="448" t="s">
        <v>470</v>
      </c>
      <c r="M47" s="448"/>
      <c r="N47" s="448"/>
      <c r="O47" s="448"/>
      <c r="P47" s="373"/>
      <c r="Q47" s="373"/>
      <c r="R47" s="437"/>
      <c r="S47" s="438"/>
    </row>
    <row r="48" spans="1:19" x14ac:dyDescent="0.25">
      <c r="G48" s="226"/>
      <c r="H48" s="394" t="s">
        <v>318</v>
      </c>
      <c r="I48" s="394"/>
      <c r="J48" s="394"/>
      <c r="K48" s="394"/>
      <c r="L48" s="446" t="s">
        <v>471</v>
      </c>
      <c r="M48" s="446"/>
      <c r="N48" s="446"/>
      <c r="O48" s="446"/>
      <c r="P48" s="447"/>
      <c r="Q48" s="447"/>
      <c r="R48" s="433" t="e">
        <f>VLOOKUP(H48,Table_Culture_Ranks,VLOOKUP(Culture,Table_Culture,2,FALSE)+1,FALSE)</f>
        <v>#N/A</v>
      </c>
      <c r="S48" s="434"/>
    </row>
    <row r="49" spans="7:19" x14ac:dyDescent="0.25">
      <c r="G49" s="226"/>
      <c r="H49" s="305" t="s">
        <v>318</v>
      </c>
      <c r="I49" s="305"/>
      <c r="J49" s="305"/>
      <c r="K49" s="305"/>
      <c r="L49" s="439" t="s">
        <v>472</v>
      </c>
      <c r="M49" s="439"/>
      <c r="N49" s="439"/>
      <c r="O49" s="439"/>
      <c r="P49" s="432"/>
      <c r="Q49" s="432"/>
      <c r="R49" s="435"/>
      <c r="S49" s="436"/>
    </row>
    <row r="50" spans="7:19" x14ac:dyDescent="0.25">
      <c r="G50" s="226"/>
      <c r="H50" s="305" t="s">
        <v>318</v>
      </c>
      <c r="I50" s="305"/>
      <c r="J50" s="305"/>
      <c r="K50" s="305"/>
      <c r="L50" s="439" t="s">
        <v>473</v>
      </c>
      <c r="M50" s="439"/>
      <c r="N50" s="439"/>
      <c r="O50" s="439"/>
      <c r="P50" s="432"/>
      <c r="Q50" s="432"/>
      <c r="R50" s="435"/>
      <c r="S50" s="436"/>
    </row>
    <row r="51" spans="7:19" x14ac:dyDescent="0.25">
      <c r="G51" s="226"/>
      <c r="H51" s="305" t="s">
        <v>318</v>
      </c>
      <c r="I51" s="305"/>
      <c r="J51" s="305"/>
      <c r="K51" s="305"/>
      <c r="L51" s="439" t="s">
        <v>474</v>
      </c>
      <c r="M51" s="439"/>
      <c r="N51" s="439"/>
      <c r="O51" s="439"/>
      <c r="P51" s="432"/>
      <c r="Q51" s="432"/>
      <c r="R51" s="435"/>
      <c r="S51" s="436"/>
    </row>
    <row r="52" spans="7:19" x14ac:dyDescent="0.25">
      <c r="G52" s="226"/>
      <c r="H52" s="445" t="s">
        <v>318</v>
      </c>
      <c r="I52" s="445"/>
      <c r="J52" s="445"/>
      <c r="K52" s="445"/>
      <c r="L52" s="448" t="s">
        <v>470</v>
      </c>
      <c r="M52" s="448"/>
      <c r="N52" s="448"/>
      <c r="O52" s="448"/>
      <c r="P52" s="373"/>
      <c r="Q52" s="373"/>
      <c r="R52" s="437"/>
      <c r="S52" s="438"/>
    </row>
    <row r="53" spans="7:19" x14ac:dyDescent="0.25">
      <c r="G53" s="226"/>
      <c r="H53" s="394" t="s">
        <v>411</v>
      </c>
      <c r="I53" s="394"/>
      <c r="J53" s="394"/>
      <c r="K53" s="394"/>
      <c r="L53" s="446" t="s">
        <v>438</v>
      </c>
      <c r="M53" s="446"/>
      <c r="N53" s="446"/>
      <c r="O53" s="446"/>
      <c r="P53" s="447"/>
      <c r="Q53" s="447"/>
      <c r="R53" s="433" t="e">
        <f>VLOOKUP("Languages",Table_Culture_Ranks,VLOOKUP(Culture,Table_Culture,2,FALSE)+1,FALSE)</f>
        <v>#N/A</v>
      </c>
      <c r="S53" s="434"/>
    </row>
    <row r="54" spans="7:19" x14ac:dyDescent="0.25">
      <c r="G54" s="226"/>
      <c r="H54" s="305" t="s">
        <v>412</v>
      </c>
      <c r="I54" s="305"/>
      <c r="J54" s="305"/>
      <c r="K54" s="305"/>
      <c r="L54" s="439" t="s">
        <v>438</v>
      </c>
      <c r="M54" s="439"/>
      <c r="N54" s="439"/>
      <c r="O54" s="439"/>
      <c r="P54" s="432"/>
      <c r="Q54" s="432"/>
      <c r="R54" s="435"/>
      <c r="S54" s="436"/>
    </row>
    <row r="55" spans="7:19" x14ac:dyDescent="0.25">
      <c r="G55" s="226"/>
      <c r="H55" s="305" t="s">
        <v>411</v>
      </c>
      <c r="I55" s="305"/>
      <c r="J55" s="305"/>
      <c r="K55" s="305"/>
      <c r="L55" s="439"/>
      <c r="M55" s="439"/>
      <c r="N55" s="439"/>
      <c r="O55" s="439"/>
      <c r="P55" s="432"/>
      <c r="Q55" s="432"/>
      <c r="R55" s="435"/>
      <c r="S55" s="436"/>
    </row>
    <row r="56" spans="7:19" x14ac:dyDescent="0.25">
      <c r="G56" s="226"/>
      <c r="H56" s="305" t="s">
        <v>412</v>
      </c>
      <c r="I56" s="305"/>
      <c r="J56" s="305"/>
      <c r="K56" s="305"/>
      <c r="L56" s="439"/>
      <c r="M56" s="439"/>
      <c r="N56" s="439"/>
      <c r="O56" s="439"/>
      <c r="P56" s="432"/>
      <c r="Q56" s="432"/>
      <c r="R56" s="435"/>
      <c r="S56" s="436"/>
    </row>
    <row r="57" spans="7:19" x14ac:dyDescent="0.25">
      <c r="G57" s="226"/>
      <c r="H57" s="305" t="s">
        <v>411</v>
      </c>
      <c r="I57" s="305"/>
      <c r="J57" s="305"/>
      <c r="K57" s="305"/>
      <c r="L57" s="439"/>
      <c r="M57" s="439"/>
      <c r="N57" s="439"/>
      <c r="O57" s="439"/>
      <c r="P57" s="432"/>
      <c r="Q57" s="432"/>
      <c r="R57" s="435"/>
      <c r="S57" s="436"/>
    </row>
    <row r="58" spans="7:19" x14ac:dyDescent="0.25">
      <c r="G58" s="226"/>
      <c r="H58" s="305" t="s">
        <v>412</v>
      </c>
      <c r="I58" s="305"/>
      <c r="J58" s="305"/>
      <c r="K58" s="305"/>
      <c r="L58" s="439"/>
      <c r="M58" s="439"/>
      <c r="N58" s="439"/>
      <c r="O58" s="439"/>
      <c r="P58" s="432"/>
      <c r="Q58" s="432"/>
      <c r="R58" s="435"/>
      <c r="S58" s="436"/>
    </row>
    <row r="59" spans="7:19" x14ac:dyDescent="0.25">
      <c r="G59" s="226"/>
      <c r="H59" s="305" t="s">
        <v>411</v>
      </c>
      <c r="I59" s="305"/>
      <c r="J59" s="305"/>
      <c r="K59" s="305"/>
      <c r="L59" s="439"/>
      <c r="M59" s="439"/>
      <c r="N59" s="439"/>
      <c r="O59" s="439"/>
      <c r="P59" s="432"/>
      <c r="Q59" s="432"/>
      <c r="R59" s="435"/>
      <c r="S59" s="436"/>
    </row>
    <row r="60" spans="7:19" x14ac:dyDescent="0.25">
      <c r="G60" s="226"/>
      <c r="H60" s="445" t="s">
        <v>412</v>
      </c>
      <c r="I60" s="445"/>
      <c r="J60" s="445"/>
      <c r="K60" s="445"/>
      <c r="L60" s="448"/>
      <c r="M60" s="448"/>
      <c r="N60" s="448"/>
      <c r="O60" s="448"/>
      <c r="P60" s="373"/>
      <c r="Q60" s="373"/>
      <c r="R60" s="437"/>
      <c r="S60" s="438"/>
    </row>
    <row r="61" spans="7:19" x14ac:dyDescent="0.25">
      <c r="G61" s="226"/>
      <c r="H61" s="394" t="s">
        <v>168</v>
      </c>
      <c r="I61" s="394"/>
      <c r="J61" s="394"/>
      <c r="K61" s="394"/>
      <c r="L61" s="440"/>
      <c r="M61" s="440"/>
      <c r="N61" s="440"/>
      <c r="O61" s="440"/>
      <c r="P61" s="447"/>
      <c r="Q61" s="447"/>
      <c r="R61" s="433" t="e">
        <f>VLOOKUP("Other Lores",Table_Culture_Ranks,VLOOKUP(Culture,Table_Culture,2,FALSE)+1,FALSE)</f>
        <v>#N/A</v>
      </c>
      <c r="S61" s="434"/>
    </row>
    <row r="62" spans="7:19" x14ac:dyDescent="0.25">
      <c r="G62" s="226"/>
      <c r="H62" s="305" t="s">
        <v>169</v>
      </c>
      <c r="I62" s="305"/>
      <c r="J62" s="305"/>
      <c r="K62" s="305"/>
      <c r="L62" s="441"/>
      <c r="M62" s="441"/>
      <c r="N62" s="441"/>
      <c r="O62" s="441"/>
      <c r="P62" s="432"/>
      <c r="Q62" s="432"/>
      <c r="R62" s="435"/>
      <c r="S62" s="436"/>
    </row>
    <row r="63" spans="7:19" x14ac:dyDescent="0.25">
      <c r="G63" s="226"/>
      <c r="H63" s="305" t="s">
        <v>170</v>
      </c>
      <c r="I63" s="305"/>
      <c r="J63" s="305"/>
      <c r="K63" s="305"/>
      <c r="L63" s="441"/>
      <c r="M63" s="441"/>
      <c r="N63" s="441"/>
      <c r="O63" s="441"/>
      <c r="P63" s="432"/>
      <c r="Q63" s="432"/>
      <c r="R63" s="435"/>
      <c r="S63" s="436"/>
    </row>
    <row r="64" spans="7:19" x14ac:dyDescent="0.25">
      <c r="G64" s="226"/>
      <c r="H64" s="305" t="s">
        <v>171</v>
      </c>
      <c r="I64" s="305"/>
      <c r="J64" s="305"/>
      <c r="K64" s="305"/>
      <c r="L64" s="439"/>
      <c r="M64" s="439"/>
      <c r="N64" s="439"/>
      <c r="O64" s="439"/>
      <c r="P64" s="432"/>
      <c r="Q64" s="432"/>
      <c r="R64" s="435"/>
      <c r="S64" s="436"/>
    </row>
    <row r="65" spans="7:19" x14ac:dyDescent="0.25">
      <c r="G65" s="226"/>
      <c r="H65" s="305" t="s">
        <v>171</v>
      </c>
      <c r="I65" s="305"/>
      <c r="J65" s="305"/>
      <c r="K65" s="305"/>
      <c r="L65" s="439"/>
      <c r="M65" s="439"/>
      <c r="N65" s="439"/>
      <c r="O65" s="439"/>
      <c r="P65" s="432"/>
      <c r="Q65" s="432"/>
      <c r="R65" s="435"/>
      <c r="S65" s="436"/>
    </row>
    <row r="66" spans="7:19" x14ac:dyDescent="0.25">
      <c r="G66" s="226"/>
      <c r="H66" s="305" t="s">
        <v>174</v>
      </c>
      <c r="I66" s="305"/>
      <c r="J66" s="305"/>
      <c r="K66" s="305"/>
      <c r="L66" s="439"/>
      <c r="M66" s="439"/>
      <c r="N66" s="439"/>
      <c r="O66" s="439"/>
      <c r="P66" s="432"/>
      <c r="Q66" s="432"/>
      <c r="R66" s="435"/>
      <c r="S66" s="436"/>
    </row>
    <row r="67" spans="7:19" x14ac:dyDescent="0.25">
      <c r="G67" s="226"/>
      <c r="H67" s="445" t="s">
        <v>174</v>
      </c>
      <c r="I67" s="445"/>
      <c r="J67" s="445"/>
      <c r="K67" s="445"/>
      <c r="L67" s="448"/>
      <c r="M67" s="448"/>
      <c r="N67" s="448"/>
      <c r="O67" s="448"/>
      <c r="P67" s="373"/>
      <c r="Q67" s="373"/>
      <c r="R67" s="437"/>
      <c r="S67" s="438"/>
    </row>
    <row r="68" spans="7:19" x14ac:dyDescent="0.25">
      <c r="G68" s="226"/>
      <c r="H68" s="394" t="s">
        <v>219</v>
      </c>
      <c r="I68" s="394"/>
      <c r="J68" s="394"/>
      <c r="K68" s="394"/>
      <c r="L68" s="446" t="s">
        <v>220</v>
      </c>
      <c r="M68" s="446"/>
      <c r="N68" s="446"/>
      <c r="O68" s="446"/>
      <c r="P68" s="447"/>
      <c r="Q68" s="447"/>
      <c r="R68" s="433" t="e">
        <f>VLOOKUP(H68,Table_Culture_Ranks,VLOOKUP(Culture,Table_Culture,2,FALSE)+1,FALSE)</f>
        <v>#N/A</v>
      </c>
      <c r="S68" s="434"/>
    </row>
    <row r="69" spans="7:19" x14ac:dyDescent="0.25">
      <c r="G69" s="226"/>
      <c r="H69" s="305" t="s">
        <v>219</v>
      </c>
      <c r="I69" s="305"/>
      <c r="J69" s="305"/>
      <c r="K69" s="305"/>
      <c r="L69" s="439" t="s">
        <v>224</v>
      </c>
      <c r="M69" s="439"/>
      <c r="N69" s="439"/>
      <c r="O69" s="439"/>
      <c r="P69" s="432"/>
      <c r="Q69" s="432"/>
      <c r="R69" s="435"/>
      <c r="S69" s="436"/>
    </row>
    <row r="70" spans="7:19" x14ac:dyDescent="0.25">
      <c r="G70" s="226"/>
      <c r="H70" s="445" t="s">
        <v>219</v>
      </c>
      <c r="I70" s="445"/>
      <c r="J70" s="445"/>
      <c r="K70" s="445"/>
      <c r="L70" s="448" t="s">
        <v>225</v>
      </c>
      <c r="M70" s="448"/>
      <c r="N70" s="448"/>
      <c r="O70" s="448"/>
      <c r="P70" s="373"/>
      <c r="Q70" s="373"/>
      <c r="R70" s="437"/>
      <c r="S70" s="438"/>
    </row>
    <row r="71" spans="7:19" x14ac:dyDescent="0.25">
      <c r="G71" s="226"/>
      <c r="H71" s="394" t="s">
        <v>137</v>
      </c>
      <c r="I71" s="394"/>
      <c r="J71" s="394"/>
      <c r="K71" s="394"/>
      <c r="L71" s="440"/>
      <c r="M71" s="440"/>
      <c r="N71" s="440"/>
      <c r="O71" s="440"/>
      <c r="P71" s="447"/>
      <c r="Q71" s="447"/>
      <c r="R71" s="433" t="e">
        <f>VLOOKUP("Composition &amp; Performing Arts",Table_Culture_Ranks,VLOOKUP(Culture,Table_Culture,2,FALSE)+1,FALSE)</f>
        <v>#N/A</v>
      </c>
      <c r="S71" s="434"/>
    </row>
    <row r="72" spans="7:19" x14ac:dyDescent="0.25">
      <c r="G72" s="226"/>
      <c r="H72" s="305" t="s">
        <v>138</v>
      </c>
      <c r="I72" s="305"/>
      <c r="J72" s="305"/>
      <c r="K72" s="305"/>
      <c r="L72" s="441"/>
      <c r="M72" s="441"/>
      <c r="N72" s="441"/>
      <c r="O72" s="441"/>
      <c r="P72" s="432"/>
      <c r="Q72" s="432"/>
      <c r="R72" s="435"/>
      <c r="S72" s="436"/>
    </row>
    <row r="73" spans="7:19" x14ac:dyDescent="0.25">
      <c r="G73" s="226"/>
      <c r="H73" s="305" t="s">
        <v>139</v>
      </c>
      <c r="I73" s="305"/>
      <c r="J73" s="305"/>
      <c r="K73" s="305"/>
      <c r="L73" s="441"/>
      <c r="M73" s="441"/>
      <c r="N73" s="441"/>
      <c r="O73" s="441"/>
      <c r="P73" s="432"/>
      <c r="Q73" s="432"/>
      <c r="R73" s="435"/>
      <c r="S73" s="436"/>
    </row>
    <row r="74" spans="7:19" x14ac:dyDescent="0.25">
      <c r="G74" s="226"/>
      <c r="H74" s="305" t="s">
        <v>199</v>
      </c>
      <c r="I74" s="305"/>
      <c r="J74" s="305"/>
      <c r="K74" s="305"/>
      <c r="L74" s="441"/>
      <c r="M74" s="441"/>
      <c r="N74" s="441"/>
      <c r="O74" s="441"/>
      <c r="P74" s="432"/>
      <c r="Q74" s="432"/>
      <c r="R74" s="435"/>
      <c r="S74" s="436"/>
    </row>
    <row r="75" spans="7:19" x14ac:dyDescent="0.25">
      <c r="G75" s="226"/>
      <c r="H75" s="305" t="s">
        <v>200</v>
      </c>
      <c r="I75" s="305"/>
      <c r="J75" s="305"/>
      <c r="K75" s="305"/>
      <c r="L75" s="439"/>
      <c r="M75" s="439"/>
      <c r="N75" s="439"/>
      <c r="O75" s="439"/>
      <c r="P75" s="432"/>
      <c r="Q75" s="432"/>
      <c r="R75" s="435"/>
      <c r="S75" s="436"/>
    </row>
    <row r="76" spans="7:19" x14ac:dyDescent="0.25">
      <c r="G76" s="226"/>
      <c r="H76" s="305" t="s">
        <v>200</v>
      </c>
      <c r="I76" s="305"/>
      <c r="J76" s="305"/>
      <c r="K76" s="305"/>
      <c r="L76" s="439"/>
      <c r="M76" s="439"/>
      <c r="N76" s="439"/>
      <c r="O76" s="439"/>
      <c r="P76" s="432"/>
      <c r="Q76" s="432"/>
      <c r="R76" s="435"/>
      <c r="S76" s="436"/>
    </row>
    <row r="77" spans="7:19" x14ac:dyDescent="0.25">
      <c r="G77" s="226"/>
      <c r="H77" s="445" t="s">
        <v>201</v>
      </c>
      <c r="I77" s="445"/>
      <c r="J77" s="445"/>
      <c r="K77" s="445"/>
      <c r="L77" s="451"/>
      <c r="M77" s="451"/>
      <c r="N77" s="451"/>
      <c r="O77" s="451"/>
      <c r="P77" s="373"/>
      <c r="Q77" s="373"/>
      <c r="R77" s="437"/>
      <c r="S77" s="438"/>
    </row>
    <row r="78" spans="7:19" x14ac:dyDescent="0.25">
      <c r="G78" s="226"/>
      <c r="H78" s="394" t="s">
        <v>143</v>
      </c>
      <c r="I78" s="394"/>
      <c r="J78" s="394"/>
      <c r="K78" s="394"/>
      <c r="L78" s="440"/>
      <c r="M78" s="440"/>
      <c r="N78" s="440"/>
      <c r="O78" s="440"/>
      <c r="P78" s="447"/>
      <c r="Q78" s="447"/>
      <c r="R78" s="433" t="e">
        <f>VLOOKUP("Crafting &amp; Vocation",Table_Culture_Ranks,VLOOKUP(Culture,Table_Culture,2,FALSE)+1,FALSE)</f>
        <v>#N/A</v>
      </c>
      <c r="S78" s="434"/>
    </row>
    <row r="79" spans="7:19" x14ac:dyDescent="0.25">
      <c r="G79" s="226"/>
      <c r="H79" s="305" t="s">
        <v>144</v>
      </c>
      <c r="I79" s="305"/>
      <c r="J79" s="305"/>
      <c r="K79" s="305"/>
      <c r="L79" s="441"/>
      <c r="M79" s="441"/>
      <c r="N79" s="441"/>
      <c r="O79" s="441"/>
      <c r="P79" s="432"/>
      <c r="Q79" s="432"/>
      <c r="R79" s="435"/>
      <c r="S79" s="436"/>
    </row>
    <row r="80" spans="7:19" x14ac:dyDescent="0.25">
      <c r="G80" s="226"/>
      <c r="H80" s="305" t="s">
        <v>145</v>
      </c>
      <c r="I80" s="305"/>
      <c r="J80" s="305"/>
      <c r="K80" s="305"/>
      <c r="L80" s="441"/>
      <c r="M80" s="441"/>
      <c r="N80" s="441"/>
      <c r="O80" s="441"/>
      <c r="P80" s="432"/>
      <c r="Q80" s="432"/>
      <c r="R80" s="435"/>
      <c r="S80" s="436"/>
    </row>
    <row r="81" spans="7:19" x14ac:dyDescent="0.25">
      <c r="G81" s="226"/>
      <c r="H81" s="305" t="s">
        <v>146</v>
      </c>
      <c r="I81" s="305"/>
      <c r="J81" s="305"/>
      <c r="K81" s="305"/>
      <c r="L81" s="441"/>
      <c r="M81" s="441"/>
      <c r="N81" s="441"/>
      <c r="O81" s="441"/>
      <c r="P81" s="432"/>
      <c r="Q81" s="432"/>
      <c r="R81" s="435"/>
      <c r="S81" s="436"/>
    </row>
    <row r="82" spans="7:19" x14ac:dyDescent="0.25">
      <c r="G82" s="226"/>
      <c r="H82" s="305" t="s">
        <v>147</v>
      </c>
      <c r="I82" s="305"/>
      <c r="J82" s="305"/>
      <c r="K82" s="305"/>
      <c r="L82" s="441"/>
      <c r="M82" s="441"/>
      <c r="N82" s="441"/>
      <c r="O82" s="441"/>
      <c r="P82" s="432"/>
      <c r="Q82" s="432"/>
      <c r="R82" s="435"/>
      <c r="S82" s="436"/>
    </row>
    <row r="83" spans="7:19" x14ac:dyDescent="0.25">
      <c r="G83" s="226"/>
      <c r="H83" s="305" t="s">
        <v>148</v>
      </c>
      <c r="I83" s="305"/>
      <c r="J83" s="305"/>
      <c r="K83" s="305"/>
      <c r="L83" s="441"/>
      <c r="M83" s="441"/>
      <c r="N83" s="441"/>
      <c r="O83" s="441"/>
      <c r="P83" s="432"/>
      <c r="Q83" s="432"/>
      <c r="R83" s="435"/>
      <c r="S83" s="436"/>
    </row>
    <row r="84" spans="7:19" x14ac:dyDescent="0.25">
      <c r="G84" s="226"/>
      <c r="H84" s="305" t="s">
        <v>149</v>
      </c>
      <c r="I84" s="305"/>
      <c r="J84" s="305"/>
      <c r="K84" s="305"/>
      <c r="L84" s="441"/>
      <c r="M84" s="441"/>
      <c r="N84" s="441"/>
      <c r="O84" s="441"/>
      <c r="P84" s="432"/>
      <c r="Q84" s="432"/>
      <c r="R84" s="435"/>
      <c r="S84" s="436"/>
    </row>
    <row r="85" spans="7:19" x14ac:dyDescent="0.25">
      <c r="G85" s="226"/>
      <c r="H85" s="305" t="s">
        <v>240</v>
      </c>
      <c r="I85" s="305"/>
      <c r="J85" s="305"/>
      <c r="K85" s="305"/>
      <c r="L85" s="441"/>
      <c r="M85" s="441"/>
      <c r="N85" s="441"/>
      <c r="O85" s="441"/>
      <c r="P85" s="432"/>
      <c r="Q85" s="432"/>
      <c r="R85" s="435"/>
      <c r="S85" s="436"/>
    </row>
    <row r="86" spans="7:19" x14ac:dyDescent="0.25">
      <c r="G86" s="226"/>
      <c r="H86" s="305" t="s">
        <v>241</v>
      </c>
      <c r="I86" s="305"/>
      <c r="J86" s="305"/>
      <c r="K86" s="305"/>
      <c r="L86" s="441"/>
      <c r="M86" s="441"/>
      <c r="N86" s="441"/>
      <c r="O86" s="441"/>
      <c r="P86" s="432"/>
      <c r="Q86" s="432"/>
      <c r="R86" s="435"/>
      <c r="S86" s="436"/>
    </row>
    <row r="87" spans="7:19" ht="15.75" thickBot="1" x14ac:dyDescent="0.3">
      <c r="G87" s="227"/>
      <c r="H87" s="307" t="s">
        <v>242</v>
      </c>
      <c r="I87" s="307"/>
      <c r="J87" s="307"/>
      <c r="K87" s="307"/>
      <c r="L87" s="444"/>
      <c r="M87" s="444"/>
      <c r="N87" s="444"/>
      <c r="O87" s="444"/>
      <c r="P87" s="404"/>
      <c r="Q87" s="404"/>
      <c r="R87" s="442"/>
      <c r="S87" s="443"/>
    </row>
  </sheetData>
  <mergeCells count="256">
    <mergeCell ref="G2:N2"/>
    <mergeCell ref="G10:H10"/>
    <mergeCell ref="H11:K11"/>
    <mergeCell ref="H12:K12"/>
    <mergeCell ref="H13:K13"/>
    <mergeCell ref="L11:O17"/>
    <mergeCell ref="H22:K22"/>
    <mergeCell ref="H23:K23"/>
    <mergeCell ref="H24:K24"/>
    <mergeCell ref="K3:L3"/>
    <mergeCell ref="I4:J4"/>
    <mergeCell ref="I5:J5"/>
    <mergeCell ref="H21:K21"/>
    <mergeCell ref="H18:K18"/>
    <mergeCell ref="L18:O18"/>
    <mergeCell ref="G4:H4"/>
    <mergeCell ref="I6:J6"/>
    <mergeCell ref="I7:J7"/>
    <mergeCell ref="K4:L4"/>
    <mergeCell ref="K5:L5"/>
    <mergeCell ref="K6:L6"/>
    <mergeCell ref="K7:L7"/>
    <mergeCell ref="I10:K10"/>
    <mergeCell ref="G5:H5"/>
    <mergeCell ref="H19:K19"/>
    <mergeCell ref="H20:K20"/>
    <mergeCell ref="P22:Q22"/>
    <mergeCell ref="P23:Q23"/>
    <mergeCell ref="P21:Q21"/>
    <mergeCell ref="H30:K30"/>
    <mergeCell ref="H31:K31"/>
    <mergeCell ref="P14:Q14"/>
    <mergeCell ref="P15:Q15"/>
    <mergeCell ref="P16:Q16"/>
    <mergeCell ref="P17:Q17"/>
    <mergeCell ref="H14:K14"/>
    <mergeCell ref="H15:K15"/>
    <mergeCell ref="H16:K16"/>
    <mergeCell ref="H17:K17"/>
    <mergeCell ref="P24:Q24"/>
    <mergeCell ref="P25:Q25"/>
    <mergeCell ref="P28:Q28"/>
    <mergeCell ref="P29:Q29"/>
    <mergeCell ref="P30:Q30"/>
    <mergeCell ref="P31:Q31"/>
    <mergeCell ref="P27:Q27"/>
    <mergeCell ref="H26:K26"/>
    <mergeCell ref="L26:O26"/>
    <mergeCell ref="I3:J3"/>
    <mergeCell ref="M3:N3"/>
    <mergeCell ref="M4:N4"/>
    <mergeCell ref="M5:N5"/>
    <mergeCell ref="M6:N6"/>
    <mergeCell ref="P10:Q10"/>
    <mergeCell ref="P11:Q11"/>
    <mergeCell ref="P12:Q12"/>
    <mergeCell ref="P13:Q13"/>
    <mergeCell ref="G9:S9"/>
    <mergeCell ref="L10:O10"/>
    <mergeCell ref="G6:H6"/>
    <mergeCell ref="G7:H7"/>
    <mergeCell ref="P26:Q26"/>
    <mergeCell ref="H27:K27"/>
    <mergeCell ref="L27:O27"/>
    <mergeCell ref="R35:S36"/>
    <mergeCell ref="R37:S39"/>
    <mergeCell ref="R31:S32"/>
    <mergeCell ref="R33:S34"/>
    <mergeCell ref="H35:K35"/>
    <mergeCell ref="L35:O35"/>
    <mergeCell ref="H36:K36"/>
    <mergeCell ref="L36:O36"/>
    <mergeCell ref="H32:K32"/>
    <mergeCell ref="P32:Q32"/>
    <mergeCell ref="H33:K33"/>
    <mergeCell ref="H34:K34"/>
    <mergeCell ref="L33:O33"/>
    <mergeCell ref="L34:O34"/>
    <mergeCell ref="P33:Q33"/>
    <mergeCell ref="P34:Q34"/>
    <mergeCell ref="P35:Q35"/>
    <mergeCell ref="P36:Q36"/>
    <mergeCell ref="P37:Q37"/>
    <mergeCell ref="P38:Q38"/>
    <mergeCell ref="P39:Q39"/>
    <mergeCell ref="H37:K37"/>
    <mergeCell ref="H40:K40"/>
    <mergeCell ref="L40:O40"/>
    <mergeCell ref="P40:Q40"/>
    <mergeCell ref="L37:O37"/>
    <mergeCell ref="H38:K38"/>
    <mergeCell ref="L38:O38"/>
    <mergeCell ref="H39:K39"/>
    <mergeCell ref="L39:O39"/>
    <mergeCell ref="H47:K47"/>
    <mergeCell ref="L47:O47"/>
    <mergeCell ref="P47:Q47"/>
    <mergeCell ref="H41:K41"/>
    <mergeCell ref="L41:O41"/>
    <mergeCell ref="P41:Q41"/>
    <mergeCell ref="H42:K42"/>
    <mergeCell ref="L42:O42"/>
    <mergeCell ref="P42:Q42"/>
    <mergeCell ref="H43:K43"/>
    <mergeCell ref="H46:K46"/>
    <mergeCell ref="L46:O46"/>
    <mergeCell ref="P46:Q46"/>
    <mergeCell ref="L43:O43"/>
    <mergeCell ref="P43:Q43"/>
    <mergeCell ref="H44:K44"/>
    <mergeCell ref="L44:O44"/>
    <mergeCell ref="P44:Q44"/>
    <mergeCell ref="H45:K45"/>
    <mergeCell ref="L45:O45"/>
    <mergeCell ref="P45:Q45"/>
    <mergeCell ref="L57:O57"/>
    <mergeCell ref="H65:K65"/>
    <mergeCell ref="H66:K66"/>
    <mergeCell ref="H67:K67"/>
    <mergeCell ref="P63:Q63"/>
    <mergeCell ref="H48:K48"/>
    <mergeCell ref="L48:O48"/>
    <mergeCell ref="P48:Q48"/>
    <mergeCell ref="H51:K51"/>
    <mergeCell ref="L51:O51"/>
    <mergeCell ref="P51:Q51"/>
    <mergeCell ref="H53:K53"/>
    <mergeCell ref="L53:O53"/>
    <mergeCell ref="P53:Q53"/>
    <mergeCell ref="H52:K52"/>
    <mergeCell ref="L52:O52"/>
    <mergeCell ref="P52:Q52"/>
    <mergeCell ref="H49:K49"/>
    <mergeCell ref="L49:O49"/>
    <mergeCell ref="P49:Q49"/>
    <mergeCell ref="H50:K50"/>
    <mergeCell ref="L50:O50"/>
    <mergeCell ref="P50:Q50"/>
    <mergeCell ref="P81:Q81"/>
    <mergeCell ref="P82:Q82"/>
    <mergeCell ref="L76:O76"/>
    <mergeCell ref="P76:Q76"/>
    <mergeCell ref="L77:O77"/>
    <mergeCell ref="P77:Q77"/>
    <mergeCell ref="L64:O64"/>
    <mergeCell ref="P64:Q64"/>
    <mergeCell ref="L65:O65"/>
    <mergeCell ref="P65:Q65"/>
    <mergeCell ref="L66:O66"/>
    <mergeCell ref="P66:Q66"/>
    <mergeCell ref="P71:Q71"/>
    <mergeCell ref="P72:Q72"/>
    <mergeCell ref="P73:Q73"/>
    <mergeCell ref="P74:Q74"/>
    <mergeCell ref="L75:O75"/>
    <mergeCell ref="P75:Q75"/>
    <mergeCell ref="L67:O67"/>
    <mergeCell ref="P67:Q67"/>
    <mergeCell ref="P69:Q69"/>
    <mergeCell ref="L70:O70"/>
    <mergeCell ref="G33:G87"/>
    <mergeCell ref="R40:S47"/>
    <mergeCell ref="R48:S52"/>
    <mergeCell ref="P18:Q18"/>
    <mergeCell ref="G11:G32"/>
    <mergeCell ref="L28:O32"/>
    <mergeCell ref="P83:Q83"/>
    <mergeCell ref="P84:Q84"/>
    <mergeCell ref="P85:Q85"/>
    <mergeCell ref="H71:K71"/>
    <mergeCell ref="H72:K72"/>
    <mergeCell ref="H73:K73"/>
    <mergeCell ref="H74:K74"/>
    <mergeCell ref="H75:K75"/>
    <mergeCell ref="H76:K76"/>
    <mergeCell ref="H77:K77"/>
    <mergeCell ref="H81:K81"/>
    <mergeCell ref="H82:K82"/>
    <mergeCell ref="H83:K83"/>
    <mergeCell ref="H84:K84"/>
    <mergeCell ref="H85:K85"/>
    <mergeCell ref="P78:Q78"/>
    <mergeCell ref="P79:Q79"/>
    <mergeCell ref="P80:Q80"/>
    <mergeCell ref="R53:S60"/>
    <mergeCell ref="H54:K54"/>
    <mergeCell ref="L54:O54"/>
    <mergeCell ref="P54:Q54"/>
    <mergeCell ref="H55:K55"/>
    <mergeCell ref="L55:O55"/>
    <mergeCell ref="P55:Q55"/>
    <mergeCell ref="R61:S67"/>
    <mergeCell ref="H60:K60"/>
    <mergeCell ref="L60:O60"/>
    <mergeCell ref="P60:Q60"/>
    <mergeCell ref="H61:K61"/>
    <mergeCell ref="P61:Q61"/>
    <mergeCell ref="H62:K62"/>
    <mergeCell ref="P62:Q62"/>
    <mergeCell ref="H57:K57"/>
    <mergeCell ref="L61:O63"/>
    <mergeCell ref="H63:K63"/>
    <mergeCell ref="H64:K64"/>
    <mergeCell ref="L58:O58"/>
    <mergeCell ref="P58:Q58"/>
    <mergeCell ref="H59:K59"/>
    <mergeCell ref="L59:O59"/>
    <mergeCell ref="P59:Q59"/>
    <mergeCell ref="H86:K86"/>
    <mergeCell ref="H87:K87"/>
    <mergeCell ref="R71:S77"/>
    <mergeCell ref="H78:K78"/>
    <mergeCell ref="H79:K79"/>
    <mergeCell ref="H80:K80"/>
    <mergeCell ref="P70:Q70"/>
    <mergeCell ref="H56:K56"/>
    <mergeCell ref="L56:O56"/>
    <mergeCell ref="L71:O74"/>
    <mergeCell ref="P56:Q56"/>
    <mergeCell ref="P57:Q57"/>
    <mergeCell ref="H58:K58"/>
    <mergeCell ref="P86:Q86"/>
    <mergeCell ref="P87:Q87"/>
    <mergeCell ref="R78:S87"/>
    <mergeCell ref="L78:O87"/>
    <mergeCell ref="H68:K68"/>
    <mergeCell ref="H69:K69"/>
    <mergeCell ref="H70:K70"/>
    <mergeCell ref="R68:S70"/>
    <mergeCell ref="L68:O68"/>
    <mergeCell ref="P68:Q68"/>
    <mergeCell ref="L69:O69"/>
    <mergeCell ref="V12:AA12"/>
    <mergeCell ref="V13:AA13"/>
    <mergeCell ref="V14:AA14"/>
    <mergeCell ref="V15:AA15"/>
    <mergeCell ref="V18:AA18"/>
    <mergeCell ref="W16:AA16"/>
    <mergeCell ref="W17:AA17"/>
    <mergeCell ref="A29:D29"/>
    <mergeCell ref="V3:AA3"/>
    <mergeCell ref="V4:AA4"/>
    <mergeCell ref="V5:AA5"/>
    <mergeCell ref="V6:AA6"/>
    <mergeCell ref="V7:AA7"/>
    <mergeCell ref="V8:AA8"/>
    <mergeCell ref="V9:AA9"/>
    <mergeCell ref="V10:AA10"/>
    <mergeCell ref="V11:AA11"/>
    <mergeCell ref="C18:E18"/>
    <mergeCell ref="L19:O25"/>
    <mergeCell ref="H25:K25"/>
    <mergeCell ref="H28:K28"/>
    <mergeCell ref="H29:K29"/>
    <mergeCell ref="P19:Q19"/>
    <mergeCell ref="P20:Q2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96F12-3C92-4EF2-B16B-0DB8C227BFE9}">
  <dimension ref="A1:BW103"/>
  <sheetViews>
    <sheetView topLeftCell="I19" workbookViewId="0">
      <selection activeCell="Z46" sqref="Z46"/>
    </sheetView>
  </sheetViews>
  <sheetFormatPr defaultRowHeight="15" x14ac:dyDescent="0.25"/>
  <cols>
    <col min="4" max="4" width="13.5703125" bestFit="1" customWidth="1"/>
    <col min="7" max="7" width="20.5703125" customWidth="1"/>
    <col min="31" max="31" width="13.5703125" bestFit="1" customWidth="1"/>
    <col min="34" max="34" width="28.5703125" bestFit="1" customWidth="1"/>
    <col min="46" max="46" width="16.5703125" bestFit="1" customWidth="1"/>
    <col min="47" max="47" width="10.85546875" customWidth="1"/>
    <col min="58" max="62" width="10.85546875" customWidth="1"/>
    <col min="72" max="72" width="21.85546875" customWidth="1"/>
  </cols>
  <sheetData>
    <row r="1" spans="1:75" x14ac:dyDescent="0.25">
      <c r="G1" s="31" t="s">
        <v>251</v>
      </c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H1" s="31" t="s">
        <v>303</v>
      </c>
      <c r="AI1" s="32"/>
      <c r="AJ1" s="32"/>
      <c r="AK1" s="32"/>
      <c r="AL1" s="32"/>
      <c r="AM1" s="32"/>
      <c r="AN1" s="32"/>
      <c r="AO1" s="32"/>
      <c r="AP1" s="32"/>
      <c r="AQ1" s="32"/>
      <c r="AR1" s="33"/>
      <c r="AT1" s="31" t="s">
        <v>325</v>
      </c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3"/>
      <c r="BV1" s="31" t="s">
        <v>400</v>
      </c>
      <c r="BW1" s="33"/>
    </row>
    <row r="2" spans="1:75" ht="15.75" thickBot="1" x14ac:dyDescent="0.3">
      <c r="G2" s="34"/>
      <c r="AC2" s="35"/>
      <c r="AH2" s="34"/>
      <c r="AR2" s="35"/>
      <c r="AT2" s="34"/>
      <c r="BO2" s="432" t="s">
        <v>367</v>
      </c>
      <c r="BP2" s="432"/>
      <c r="BQ2" s="432" t="s">
        <v>12</v>
      </c>
      <c r="BR2" s="432"/>
      <c r="BS2" s="1"/>
      <c r="BT2" s="35"/>
      <c r="BV2" s="34"/>
      <c r="BW2" s="35"/>
    </row>
    <row r="3" spans="1:75" x14ac:dyDescent="0.25">
      <c r="A3" s="1" t="s">
        <v>418</v>
      </c>
      <c r="B3" s="1" t="s">
        <v>29</v>
      </c>
      <c r="D3" s="31" t="s">
        <v>252</v>
      </c>
      <c r="E3" s="66">
        <v>1</v>
      </c>
      <c r="G3" s="34" t="s">
        <v>85</v>
      </c>
      <c r="H3" t="s">
        <v>252</v>
      </c>
      <c r="I3" t="s">
        <v>253</v>
      </c>
      <c r="J3" t="s">
        <v>254</v>
      </c>
      <c r="K3" t="s">
        <v>255</v>
      </c>
      <c r="L3" t="s">
        <v>256</v>
      </c>
      <c r="M3" t="s">
        <v>257</v>
      </c>
      <c r="N3" t="s">
        <v>258</v>
      </c>
      <c r="O3" t="s">
        <v>259</v>
      </c>
      <c r="P3" t="s">
        <v>260</v>
      </c>
      <c r="Q3" t="s">
        <v>261</v>
      </c>
      <c r="R3" t="s">
        <v>262</v>
      </c>
      <c r="S3" t="s">
        <v>263</v>
      </c>
      <c r="T3" t="s">
        <v>264</v>
      </c>
      <c r="U3" t="s">
        <v>265</v>
      </c>
      <c r="V3" t="s">
        <v>266</v>
      </c>
      <c r="W3" t="s">
        <v>267</v>
      </c>
      <c r="X3" t="s">
        <v>268</v>
      </c>
      <c r="Y3" t="s">
        <v>269</v>
      </c>
      <c r="Z3" t="s">
        <v>270</v>
      </c>
      <c r="AA3" t="s">
        <v>271</v>
      </c>
      <c r="AB3" t="s">
        <v>272</v>
      </c>
      <c r="AC3" s="35" t="s">
        <v>273</v>
      </c>
      <c r="AE3" s="31" t="s">
        <v>305</v>
      </c>
      <c r="AF3" s="66">
        <v>1</v>
      </c>
      <c r="AH3" s="34" t="s">
        <v>304</v>
      </c>
      <c r="AI3" t="s">
        <v>305</v>
      </c>
      <c r="AJ3" t="s">
        <v>306</v>
      </c>
      <c r="AK3" t="s">
        <v>307</v>
      </c>
      <c r="AL3" t="s">
        <v>308</v>
      </c>
      <c r="AM3" t="s">
        <v>309</v>
      </c>
      <c r="AN3" t="s">
        <v>310</v>
      </c>
      <c r="AO3" t="s">
        <v>311</v>
      </c>
      <c r="AP3" t="s">
        <v>312</v>
      </c>
      <c r="AQ3" t="s">
        <v>313</v>
      </c>
      <c r="AR3" s="35" t="s">
        <v>314</v>
      </c>
      <c r="AT3" s="34" t="s">
        <v>7</v>
      </c>
      <c r="AU3" s="1" t="s">
        <v>326</v>
      </c>
      <c r="AV3" s="1" t="s">
        <v>327</v>
      </c>
      <c r="AW3" s="1" t="s">
        <v>78</v>
      </c>
      <c r="AX3" s="1" t="s">
        <v>76</v>
      </c>
      <c r="AY3" s="1" t="s">
        <v>75</v>
      </c>
      <c r="AZ3" s="1" t="s">
        <v>328</v>
      </c>
      <c r="BA3" s="1" t="s">
        <v>77</v>
      </c>
      <c r="BB3" s="1" t="s">
        <v>329</v>
      </c>
      <c r="BC3" s="1" t="s">
        <v>330</v>
      </c>
      <c r="BD3" s="1" t="s">
        <v>79</v>
      </c>
      <c r="BE3" s="1" t="s">
        <v>331</v>
      </c>
      <c r="BF3" s="1" t="s">
        <v>70</v>
      </c>
      <c r="BG3" s="1" t="s">
        <v>71</v>
      </c>
      <c r="BH3" s="1" t="s">
        <v>72</v>
      </c>
      <c r="BI3" s="1" t="s">
        <v>73</v>
      </c>
      <c r="BJ3" s="1" t="s">
        <v>57</v>
      </c>
      <c r="BK3" s="1" t="s">
        <v>332</v>
      </c>
      <c r="BL3" s="1" t="s">
        <v>82</v>
      </c>
      <c r="BM3" s="1" t="s">
        <v>32</v>
      </c>
      <c r="BN3" s="1" t="s">
        <v>53</v>
      </c>
      <c r="BO3" s="1" t="s">
        <v>33</v>
      </c>
      <c r="BP3" s="1" t="s">
        <v>366</v>
      </c>
      <c r="BQ3" s="1" t="s">
        <v>33</v>
      </c>
      <c r="BR3" s="1" t="s">
        <v>366</v>
      </c>
      <c r="BS3" s="1" t="s">
        <v>403</v>
      </c>
      <c r="BT3" s="18" t="s">
        <v>368</v>
      </c>
      <c r="BV3" s="27" t="s">
        <v>401</v>
      </c>
      <c r="BW3" s="18" t="s">
        <v>29</v>
      </c>
    </row>
    <row r="4" spans="1:75" ht="15" customHeight="1" x14ac:dyDescent="0.25">
      <c r="A4" s="1">
        <v>0</v>
      </c>
      <c r="B4" s="1">
        <v>-25</v>
      </c>
      <c r="D4" s="34" t="s">
        <v>253</v>
      </c>
      <c r="E4" s="18">
        <v>2</v>
      </c>
      <c r="G4" s="34" t="s">
        <v>302</v>
      </c>
      <c r="H4" s="1">
        <v>1</v>
      </c>
      <c r="I4" s="1">
        <v>2</v>
      </c>
      <c r="J4" s="1">
        <v>3</v>
      </c>
      <c r="K4" s="1">
        <v>4</v>
      </c>
      <c r="L4" s="1">
        <v>5</v>
      </c>
      <c r="M4" s="1">
        <v>6</v>
      </c>
      <c r="N4" s="1">
        <v>7</v>
      </c>
      <c r="O4" s="1">
        <v>8</v>
      </c>
      <c r="P4" s="1">
        <v>9</v>
      </c>
      <c r="Q4" s="1">
        <v>10</v>
      </c>
      <c r="R4" s="1">
        <v>11</v>
      </c>
      <c r="S4" s="1">
        <v>12</v>
      </c>
      <c r="T4" s="1">
        <v>13</v>
      </c>
      <c r="U4" s="1">
        <v>14</v>
      </c>
      <c r="V4" s="1">
        <v>15</v>
      </c>
      <c r="W4" s="1">
        <v>16</v>
      </c>
      <c r="X4" s="1">
        <v>17</v>
      </c>
      <c r="Y4" s="1">
        <v>18</v>
      </c>
      <c r="Z4" s="1">
        <v>19</v>
      </c>
      <c r="AA4" s="1">
        <v>20</v>
      </c>
      <c r="AB4" s="1">
        <v>21</v>
      </c>
      <c r="AC4" s="18">
        <v>22</v>
      </c>
      <c r="AE4" s="34" t="s">
        <v>306</v>
      </c>
      <c r="AF4" s="18">
        <v>2</v>
      </c>
      <c r="AH4" s="34" t="s">
        <v>302</v>
      </c>
      <c r="AI4" s="1">
        <v>1</v>
      </c>
      <c r="AJ4" s="1">
        <v>2</v>
      </c>
      <c r="AK4" s="1">
        <v>3</v>
      </c>
      <c r="AL4" s="1">
        <v>4</v>
      </c>
      <c r="AM4" s="1">
        <v>5</v>
      </c>
      <c r="AN4" s="1">
        <v>6</v>
      </c>
      <c r="AO4" s="1">
        <v>7</v>
      </c>
      <c r="AP4" s="1">
        <v>8</v>
      </c>
      <c r="AQ4" s="1">
        <v>9</v>
      </c>
      <c r="AR4" s="18">
        <v>10</v>
      </c>
      <c r="AT4" s="34" t="s">
        <v>302</v>
      </c>
      <c r="AU4" s="1">
        <v>1</v>
      </c>
      <c r="AV4" s="1">
        <v>2</v>
      </c>
      <c r="AW4" s="1">
        <v>3</v>
      </c>
      <c r="AX4" s="1">
        <v>4</v>
      </c>
      <c r="AY4" s="1">
        <v>5</v>
      </c>
      <c r="AZ4" s="1">
        <v>6</v>
      </c>
      <c r="BA4" s="1">
        <v>7</v>
      </c>
      <c r="BB4" s="1">
        <v>8</v>
      </c>
      <c r="BC4" s="1">
        <v>9</v>
      </c>
      <c r="BD4" s="1">
        <v>10</v>
      </c>
      <c r="BE4" s="1">
        <v>11</v>
      </c>
      <c r="BF4" s="1">
        <v>12</v>
      </c>
      <c r="BG4" s="1">
        <v>13</v>
      </c>
      <c r="BH4" s="1">
        <v>14</v>
      </c>
      <c r="BI4" s="1">
        <v>15</v>
      </c>
      <c r="BJ4" s="1">
        <v>16</v>
      </c>
      <c r="BK4" s="1">
        <v>17</v>
      </c>
      <c r="BL4" s="1">
        <v>18</v>
      </c>
      <c r="BM4" s="1">
        <v>19</v>
      </c>
      <c r="BN4" s="1">
        <v>20</v>
      </c>
      <c r="BO4" s="1">
        <v>21</v>
      </c>
      <c r="BP4" s="1">
        <v>22</v>
      </c>
      <c r="BQ4" s="1">
        <v>23</v>
      </c>
      <c r="BR4" s="1">
        <v>24</v>
      </c>
      <c r="BS4" s="1">
        <v>25</v>
      </c>
      <c r="BT4" s="18">
        <v>25</v>
      </c>
      <c r="BV4" s="27">
        <v>1</v>
      </c>
      <c r="BW4" s="54">
        <v>-15</v>
      </c>
    </row>
    <row r="5" spans="1:75" ht="15" customHeight="1" x14ac:dyDescent="0.25">
      <c r="A5" s="1">
        <v>1</v>
      </c>
      <c r="B5" s="1">
        <f>5*A5</f>
        <v>5</v>
      </c>
      <c r="D5" s="34" t="s">
        <v>254</v>
      </c>
      <c r="E5" s="18">
        <v>3</v>
      </c>
      <c r="G5" s="34" t="s">
        <v>506</v>
      </c>
      <c r="H5" s="1">
        <f t="shared" ref="H5:N5" si="0">IF(Realm="Essence",EM,IF(Realm="Channeling",IN,IF(Realm="Mentalism",PR,0)))</f>
        <v>0</v>
      </c>
      <c r="I5" s="1">
        <f t="shared" si="0"/>
        <v>0</v>
      </c>
      <c r="J5" s="1">
        <f t="shared" si="0"/>
        <v>0</v>
      </c>
      <c r="K5" s="1">
        <f t="shared" si="0"/>
        <v>0</v>
      </c>
      <c r="L5" s="1">
        <f t="shared" si="0"/>
        <v>0</v>
      </c>
      <c r="M5" s="1">
        <f t="shared" si="0"/>
        <v>0</v>
      </c>
      <c r="N5" s="1">
        <f t="shared" si="0"/>
        <v>0</v>
      </c>
      <c r="O5" s="1">
        <f>IN</f>
        <v>0</v>
      </c>
      <c r="P5" s="1">
        <f>IN</f>
        <v>0</v>
      </c>
      <c r="Q5" s="1">
        <f>PR</f>
        <v>0</v>
      </c>
      <c r="R5" s="1">
        <f>PR</f>
        <v>0</v>
      </c>
      <c r="S5" s="1">
        <f>EM</f>
        <v>0</v>
      </c>
      <c r="T5" s="1">
        <f>EM</f>
        <v>0</v>
      </c>
      <c r="U5" s="1">
        <f>IN</f>
        <v>0</v>
      </c>
      <c r="V5" s="1">
        <f>IN</f>
        <v>0</v>
      </c>
      <c r="W5" s="1">
        <f>EM</f>
        <v>0</v>
      </c>
      <c r="X5" s="1">
        <f>EM</f>
        <v>0</v>
      </c>
      <c r="Y5" s="1">
        <f>PR</f>
        <v>0</v>
      </c>
      <c r="Z5" s="1">
        <f>PR</f>
        <v>0</v>
      </c>
      <c r="AA5" s="1">
        <f>AVERAGE(IN,PR)</f>
        <v>0</v>
      </c>
      <c r="AB5" s="1">
        <f>AVERAGE(IN,EM)</f>
        <v>0</v>
      </c>
      <c r="AC5" s="18">
        <f>AVERAGE(EM,PR)</f>
        <v>0</v>
      </c>
      <c r="AE5" s="34" t="s">
        <v>307</v>
      </c>
      <c r="AF5" s="18">
        <v>3</v>
      </c>
      <c r="AH5" s="41" t="s">
        <v>94</v>
      </c>
      <c r="AI5" s="1"/>
      <c r="AJ5" s="1"/>
      <c r="AK5" s="1">
        <v>1</v>
      </c>
      <c r="AL5" s="1"/>
      <c r="AM5" s="1">
        <v>4</v>
      </c>
      <c r="AN5" s="1">
        <v>1</v>
      </c>
      <c r="AO5" s="1">
        <v>3</v>
      </c>
      <c r="AP5" s="1">
        <v>2</v>
      </c>
      <c r="AQ5" s="1"/>
      <c r="AR5" s="18">
        <v>1</v>
      </c>
      <c r="AT5" s="34" t="s">
        <v>333</v>
      </c>
      <c r="AU5" s="45">
        <v>35</v>
      </c>
      <c r="AV5" s="45">
        <v>4</v>
      </c>
      <c r="AW5" s="45">
        <v>-1</v>
      </c>
      <c r="AX5" s="45">
        <v>-2</v>
      </c>
      <c r="AY5" s="45">
        <v>0</v>
      </c>
      <c r="AZ5" s="45">
        <v>-2</v>
      </c>
      <c r="BA5" s="45">
        <v>-1</v>
      </c>
      <c r="BB5" s="45">
        <v>3</v>
      </c>
      <c r="BC5" s="45">
        <v>0</v>
      </c>
      <c r="BD5" s="45">
        <v>2</v>
      </c>
      <c r="BE5" s="45">
        <v>-2</v>
      </c>
      <c r="BF5" s="45">
        <v>5</v>
      </c>
      <c r="BG5" s="45">
        <v>5</v>
      </c>
      <c r="BH5" s="45">
        <v>5</v>
      </c>
      <c r="BI5" s="45">
        <v>-10</v>
      </c>
      <c r="BJ5" s="45">
        <v>0</v>
      </c>
      <c r="BK5" s="45">
        <v>20</v>
      </c>
      <c r="BL5" s="47">
        <v>1</v>
      </c>
      <c r="BM5" s="1" t="s">
        <v>369</v>
      </c>
      <c r="BN5" s="45">
        <v>0</v>
      </c>
      <c r="BO5" s="1">
        <v>70</v>
      </c>
      <c r="BP5" s="1">
        <v>65</v>
      </c>
      <c r="BQ5" s="1">
        <v>120</v>
      </c>
      <c r="BR5" s="1">
        <v>98</v>
      </c>
      <c r="BS5" s="1">
        <v>4</v>
      </c>
      <c r="BT5" s="48" t="s">
        <v>370</v>
      </c>
      <c r="BV5" s="27">
        <v>2</v>
      </c>
      <c r="BW5" s="54">
        <v>-14</v>
      </c>
    </row>
    <row r="6" spans="1:75" ht="15" customHeight="1" x14ac:dyDescent="0.25">
      <c r="A6" s="1">
        <v>2</v>
      </c>
      <c r="B6" s="1">
        <f t="shared" ref="B6:B14" si="1">5*A6</f>
        <v>10</v>
      </c>
      <c r="D6" s="34" t="s">
        <v>255</v>
      </c>
      <c r="E6" s="18">
        <v>4</v>
      </c>
      <c r="G6" s="34" t="s">
        <v>93</v>
      </c>
      <c r="H6" s="36" t="s">
        <v>285</v>
      </c>
      <c r="I6" s="30" t="s">
        <v>286</v>
      </c>
      <c r="J6" s="30" t="s">
        <v>287</v>
      </c>
      <c r="K6" s="30" t="s">
        <v>286</v>
      </c>
      <c r="L6" s="30" t="s">
        <v>285</v>
      </c>
      <c r="M6" s="30" t="s">
        <v>288</v>
      </c>
      <c r="N6" s="30" t="s">
        <v>289</v>
      </c>
      <c r="O6" s="30" t="s">
        <v>288</v>
      </c>
      <c r="P6" s="30" t="s">
        <v>286</v>
      </c>
      <c r="Q6" s="30" t="s">
        <v>287</v>
      </c>
      <c r="R6" s="30" t="s">
        <v>287</v>
      </c>
      <c r="S6" s="30" t="s">
        <v>287</v>
      </c>
      <c r="T6" s="30" t="s">
        <v>290</v>
      </c>
      <c r="U6" s="30" t="s">
        <v>289</v>
      </c>
      <c r="V6" s="30" t="s">
        <v>291</v>
      </c>
      <c r="W6" s="30" t="s">
        <v>287</v>
      </c>
      <c r="X6" s="30" t="s">
        <v>290</v>
      </c>
      <c r="Y6" s="30" t="s">
        <v>290</v>
      </c>
      <c r="Z6" s="30" t="s">
        <v>289</v>
      </c>
      <c r="AA6" s="30" t="s">
        <v>287</v>
      </c>
      <c r="AB6" s="30" t="s">
        <v>290</v>
      </c>
      <c r="AC6" s="37" t="s">
        <v>290</v>
      </c>
      <c r="AE6" s="34" t="s">
        <v>308</v>
      </c>
      <c r="AF6" s="18">
        <v>4</v>
      </c>
      <c r="AH6" s="41" t="s">
        <v>95</v>
      </c>
      <c r="AI6" s="1"/>
      <c r="AJ6" s="1"/>
      <c r="AK6" s="1"/>
      <c r="AL6" s="1"/>
      <c r="AM6" s="1">
        <v>3</v>
      </c>
      <c r="AN6" s="1">
        <v>1</v>
      </c>
      <c r="AO6" s="1">
        <v>2</v>
      </c>
      <c r="AP6" s="1"/>
      <c r="AQ6" s="1"/>
      <c r="AR6" s="18"/>
      <c r="AT6" s="34" t="s">
        <v>334</v>
      </c>
      <c r="AU6" s="45">
        <v>6</v>
      </c>
      <c r="AV6" s="45">
        <v>-1</v>
      </c>
      <c r="AW6" s="45">
        <v>6</v>
      </c>
      <c r="AX6" s="45">
        <v>-6</v>
      </c>
      <c r="AY6" s="45">
        <v>0</v>
      </c>
      <c r="AZ6" s="45">
        <v>0</v>
      </c>
      <c r="BA6" s="45">
        <v>-3</v>
      </c>
      <c r="BB6" s="45">
        <v>-1</v>
      </c>
      <c r="BC6" s="45">
        <v>0</v>
      </c>
      <c r="BD6" s="45">
        <v>0</v>
      </c>
      <c r="BE6" s="45">
        <v>2</v>
      </c>
      <c r="BF6" s="45">
        <v>0</v>
      </c>
      <c r="BG6" s="45">
        <v>15</v>
      </c>
      <c r="BH6" s="45">
        <v>15</v>
      </c>
      <c r="BI6" s="45">
        <v>10</v>
      </c>
      <c r="BJ6" s="45">
        <v>20</v>
      </c>
      <c r="BK6" s="45">
        <v>30</v>
      </c>
      <c r="BL6" s="47">
        <v>0.5</v>
      </c>
      <c r="BM6" s="1" t="s">
        <v>369</v>
      </c>
      <c r="BN6" s="45">
        <v>-3</v>
      </c>
      <c r="BO6" s="1">
        <v>54</v>
      </c>
      <c r="BP6" s="1">
        <v>50</v>
      </c>
      <c r="BQ6" s="1">
        <v>135</v>
      </c>
      <c r="BR6" s="1">
        <v>112</v>
      </c>
      <c r="BS6" s="1">
        <v>5</v>
      </c>
      <c r="BT6" s="48" t="s">
        <v>371</v>
      </c>
      <c r="BV6" s="27">
        <v>3</v>
      </c>
      <c r="BW6" s="54">
        <v>-13</v>
      </c>
    </row>
    <row r="7" spans="1:75" ht="15" customHeight="1" x14ac:dyDescent="0.25">
      <c r="A7" s="1">
        <v>3</v>
      </c>
      <c r="B7" s="1">
        <f t="shared" si="1"/>
        <v>15</v>
      </c>
      <c r="D7" s="34" t="s">
        <v>256</v>
      </c>
      <c r="E7" s="18">
        <v>5</v>
      </c>
      <c r="G7" s="34" t="s">
        <v>100</v>
      </c>
      <c r="H7" s="30" t="s">
        <v>285</v>
      </c>
      <c r="I7" s="30" t="s">
        <v>285</v>
      </c>
      <c r="J7" s="30" t="s">
        <v>285</v>
      </c>
      <c r="K7" s="30" t="s">
        <v>291</v>
      </c>
      <c r="L7" s="30" t="s">
        <v>286</v>
      </c>
      <c r="M7" s="30" t="s">
        <v>289</v>
      </c>
      <c r="N7" s="30" t="s">
        <v>288</v>
      </c>
      <c r="O7" s="30" t="s">
        <v>288</v>
      </c>
      <c r="P7" s="30" t="s">
        <v>287</v>
      </c>
      <c r="Q7" s="30" t="s">
        <v>289</v>
      </c>
      <c r="R7" s="30" t="s">
        <v>286</v>
      </c>
      <c r="S7" s="30" t="s">
        <v>285</v>
      </c>
      <c r="T7" s="30" t="s">
        <v>288</v>
      </c>
      <c r="U7" s="30" t="s">
        <v>290</v>
      </c>
      <c r="V7" s="30" t="s">
        <v>289</v>
      </c>
      <c r="W7" s="30" t="s">
        <v>290</v>
      </c>
      <c r="X7" s="30" t="s">
        <v>285</v>
      </c>
      <c r="Y7" s="30" t="s">
        <v>287</v>
      </c>
      <c r="Z7" s="30" t="s">
        <v>290</v>
      </c>
      <c r="AA7" s="30" t="s">
        <v>290</v>
      </c>
      <c r="AB7" s="30" t="s">
        <v>285</v>
      </c>
      <c r="AC7" s="37" t="s">
        <v>290</v>
      </c>
      <c r="AE7" s="34" t="s">
        <v>309</v>
      </c>
      <c r="AF7" s="18">
        <v>5</v>
      </c>
      <c r="AH7" s="41" t="s">
        <v>101</v>
      </c>
      <c r="AI7" s="1">
        <v>2</v>
      </c>
      <c r="AJ7" s="1">
        <v>2</v>
      </c>
      <c r="AK7" s="1">
        <v>1</v>
      </c>
      <c r="AL7" s="1">
        <v>2</v>
      </c>
      <c r="AM7" s="1">
        <v>1</v>
      </c>
      <c r="AN7" s="1">
        <v>1</v>
      </c>
      <c r="AO7" s="1">
        <v>1</v>
      </c>
      <c r="AP7" s="1">
        <v>1</v>
      </c>
      <c r="AQ7" s="1">
        <v>2</v>
      </c>
      <c r="AR7" s="18">
        <v>2</v>
      </c>
      <c r="AT7" s="34" t="s">
        <v>335</v>
      </c>
      <c r="AU7" s="45">
        <v>0</v>
      </c>
      <c r="AV7" s="45">
        <v>0</v>
      </c>
      <c r="AW7" s="45">
        <v>-2</v>
      </c>
      <c r="AX7" s="45">
        <v>3</v>
      </c>
      <c r="AY7" s="45">
        <v>2</v>
      </c>
      <c r="AZ7" s="45">
        <v>2</v>
      </c>
      <c r="BA7" s="45">
        <v>3</v>
      </c>
      <c r="BB7" s="45">
        <v>1</v>
      </c>
      <c r="BC7" s="45">
        <v>2</v>
      </c>
      <c r="BD7" s="45">
        <v>-5</v>
      </c>
      <c r="BE7" s="45">
        <v>-2</v>
      </c>
      <c r="BF7" s="45">
        <v>-10</v>
      </c>
      <c r="BG7" s="45">
        <v>-10</v>
      </c>
      <c r="BH7" s="45">
        <v>-10</v>
      </c>
      <c r="BI7" s="45">
        <v>20</v>
      </c>
      <c r="BJ7" s="45">
        <v>10</v>
      </c>
      <c r="BK7" s="45">
        <v>20</v>
      </c>
      <c r="BL7" s="47">
        <v>2</v>
      </c>
      <c r="BM7" s="1" t="s">
        <v>369</v>
      </c>
      <c r="BN7" s="45">
        <v>1</v>
      </c>
      <c r="BO7" s="1">
        <v>79</v>
      </c>
      <c r="BP7" s="1">
        <v>75</v>
      </c>
      <c r="BQ7" s="1">
        <v>180</v>
      </c>
      <c r="BR7" s="1">
        <v>160</v>
      </c>
      <c r="BS7" s="1">
        <v>4</v>
      </c>
      <c r="BT7" s="48" t="s">
        <v>373</v>
      </c>
      <c r="BV7" s="27">
        <v>4</v>
      </c>
      <c r="BW7" s="54">
        <v>-12</v>
      </c>
    </row>
    <row r="8" spans="1:75" ht="15" customHeight="1" x14ac:dyDescent="0.25">
      <c r="A8" s="1">
        <v>4</v>
      </c>
      <c r="B8" s="1">
        <f t="shared" si="1"/>
        <v>20</v>
      </c>
      <c r="D8" s="34" t="s">
        <v>257</v>
      </c>
      <c r="E8" s="18">
        <v>6</v>
      </c>
      <c r="G8" s="34" t="s">
        <v>104</v>
      </c>
      <c r="H8" s="30" t="s">
        <v>287</v>
      </c>
      <c r="I8" s="30" t="s">
        <v>291</v>
      </c>
      <c r="J8" s="30" t="s">
        <v>287</v>
      </c>
      <c r="K8" s="30" t="s">
        <v>287</v>
      </c>
      <c r="L8" s="30" t="s">
        <v>289</v>
      </c>
      <c r="M8" s="30" t="s">
        <v>290</v>
      </c>
      <c r="N8" s="30" t="s">
        <v>292</v>
      </c>
      <c r="O8" s="30" t="s">
        <v>290</v>
      </c>
      <c r="P8" s="30" t="s">
        <v>286</v>
      </c>
      <c r="Q8" s="30" t="s">
        <v>293</v>
      </c>
      <c r="R8" s="30" t="s">
        <v>287</v>
      </c>
      <c r="S8" s="30" t="s">
        <v>290</v>
      </c>
      <c r="T8" s="30" t="s">
        <v>294</v>
      </c>
      <c r="U8" s="30" t="s">
        <v>294</v>
      </c>
      <c r="V8" s="30" t="s">
        <v>292</v>
      </c>
      <c r="W8" s="30" t="s">
        <v>292</v>
      </c>
      <c r="X8" s="30" t="s">
        <v>292</v>
      </c>
      <c r="Y8" s="30" t="s">
        <v>292</v>
      </c>
      <c r="Z8" s="30" t="s">
        <v>292</v>
      </c>
      <c r="AA8" s="30" t="s">
        <v>292</v>
      </c>
      <c r="AB8" s="30" t="s">
        <v>292</v>
      </c>
      <c r="AC8" s="37" t="s">
        <v>292</v>
      </c>
      <c r="AE8" s="34" t="s">
        <v>310</v>
      </c>
      <c r="AF8" s="18">
        <v>6</v>
      </c>
      <c r="AH8" s="41" t="s">
        <v>102</v>
      </c>
      <c r="AI8" s="1"/>
      <c r="AJ8" s="1">
        <v>1</v>
      </c>
      <c r="AK8" s="1">
        <v>1</v>
      </c>
      <c r="AL8" s="1"/>
      <c r="AM8" s="1">
        <v>1</v>
      </c>
      <c r="AN8" s="1">
        <v>1</v>
      </c>
      <c r="AO8" s="1"/>
      <c r="AP8" s="1">
        <v>1</v>
      </c>
      <c r="AQ8" s="1"/>
      <c r="AR8" s="18"/>
      <c r="AT8" s="34" t="s">
        <v>336</v>
      </c>
      <c r="AU8" s="45">
        <v>2</v>
      </c>
      <c r="AV8" s="45">
        <v>2</v>
      </c>
      <c r="AW8" s="45">
        <v>0</v>
      </c>
      <c r="AX8" s="45">
        <v>3</v>
      </c>
      <c r="AY8" s="45">
        <v>0</v>
      </c>
      <c r="AZ8" s="45">
        <v>1</v>
      </c>
      <c r="BA8" s="45">
        <v>3</v>
      </c>
      <c r="BB8" s="45">
        <v>3</v>
      </c>
      <c r="BC8" s="45">
        <v>0</v>
      </c>
      <c r="BD8" s="45">
        <v>-5</v>
      </c>
      <c r="BE8" s="45">
        <v>0</v>
      </c>
      <c r="BF8" s="45">
        <v>-5</v>
      </c>
      <c r="BG8" s="45">
        <v>-5</v>
      </c>
      <c r="BH8" s="45">
        <v>-5</v>
      </c>
      <c r="BI8" s="45">
        <v>10</v>
      </c>
      <c r="BJ8" s="45">
        <v>10</v>
      </c>
      <c r="BK8" s="45">
        <v>20</v>
      </c>
      <c r="BL8" s="47">
        <v>2</v>
      </c>
      <c r="BM8" s="1" t="s">
        <v>369</v>
      </c>
      <c r="BN8" s="45">
        <v>2</v>
      </c>
      <c r="BO8" s="1">
        <v>77</v>
      </c>
      <c r="BP8" s="1">
        <v>73</v>
      </c>
      <c r="BQ8" s="1">
        <v>190</v>
      </c>
      <c r="BR8" s="1">
        <v>155</v>
      </c>
      <c r="BS8" s="1">
        <v>4</v>
      </c>
      <c r="BT8" s="48" t="s">
        <v>372</v>
      </c>
      <c r="BV8" s="27">
        <v>5</v>
      </c>
      <c r="BW8" s="54">
        <v>-11</v>
      </c>
    </row>
    <row r="9" spans="1:75" ht="15" customHeight="1" x14ac:dyDescent="0.25">
      <c r="A9" s="1">
        <v>5</v>
      </c>
      <c r="B9" s="1">
        <f t="shared" si="1"/>
        <v>25</v>
      </c>
      <c r="D9" s="34" t="s">
        <v>258</v>
      </c>
      <c r="E9" s="18">
        <v>7</v>
      </c>
      <c r="G9" s="34" t="s">
        <v>110</v>
      </c>
      <c r="H9" s="30" t="s">
        <v>290</v>
      </c>
      <c r="I9" s="30" t="s">
        <v>290</v>
      </c>
      <c r="J9" s="30" t="s">
        <v>288</v>
      </c>
      <c r="K9" s="30" t="s">
        <v>293</v>
      </c>
      <c r="L9" s="30" t="s">
        <v>290</v>
      </c>
      <c r="M9" s="30" t="s">
        <v>293</v>
      </c>
      <c r="N9" s="30" t="s">
        <v>293</v>
      </c>
      <c r="O9" s="30" t="s">
        <v>293</v>
      </c>
      <c r="P9" s="30" t="s">
        <v>294</v>
      </c>
      <c r="Q9" s="30" t="s">
        <v>285</v>
      </c>
      <c r="R9" s="30" t="s">
        <v>290</v>
      </c>
      <c r="S9" s="30" t="s">
        <v>293</v>
      </c>
      <c r="T9" s="30" t="s">
        <v>293</v>
      </c>
      <c r="U9" s="30" t="s">
        <v>293</v>
      </c>
      <c r="V9" s="30" t="s">
        <v>293</v>
      </c>
      <c r="W9" s="30" t="s">
        <v>293</v>
      </c>
      <c r="X9" s="30" t="s">
        <v>293</v>
      </c>
      <c r="Y9" s="30" t="s">
        <v>290</v>
      </c>
      <c r="Z9" s="30" t="s">
        <v>290</v>
      </c>
      <c r="AA9" s="30" t="s">
        <v>294</v>
      </c>
      <c r="AB9" s="30" t="s">
        <v>293</v>
      </c>
      <c r="AC9" s="37" t="s">
        <v>293</v>
      </c>
      <c r="AE9" s="34" t="s">
        <v>311</v>
      </c>
      <c r="AF9" s="18">
        <v>7</v>
      </c>
      <c r="AH9" s="41" t="s">
        <v>315</v>
      </c>
      <c r="AI9" s="1"/>
      <c r="AJ9" s="1">
        <v>1</v>
      </c>
      <c r="AK9" s="1">
        <v>1</v>
      </c>
      <c r="AL9" s="1"/>
      <c r="AM9" s="1"/>
      <c r="AN9" s="1">
        <v>2</v>
      </c>
      <c r="AO9" s="1"/>
      <c r="AP9" s="1"/>
      <c r="AQ9" s="1"/>
      <c r="AR9" s="18"/>
      <c r="AT9" s="34" t="s">
        <v>337</v>
      </c>
      <c r="AU9" s="45">
        <v>3</v>
      </c>
      <c r="AV9" s="45">
        <v>3</v>
      </c>
      <c r="AW9" s="45">
        <v>-1</v>
      </c>
      <c r="AX9" s="45">
        <v>2</v>
      </c>
      <c r="AY9" s="45">
        <v>0</v>
      </c>
      <c r="AZ9" s="45">
        <v>2</v>
      </c>
      <c r="BA9" s="45">
        <v>3</v>
      </c>
      <c r="BB9" s="45">
        <v>2</v>
      </c>
      <c r="BC9" s="45">
        <v>1</v>
      </c>
      <c r="BD9" s="45">
        <v>-5</v>
      </c>
      <c r="BE9" s="45">
        <v>-1</v>
      </c>
      <c r="BF9" s="45">
        <v>-5</v>
      </c>
      <c r="BG9" s="45">
        <v>-5</v>
      </c>
      <c r="BH9" s="45">
        <v>-5</v>
      </c>
      <c r="BI9" s="45">
        <v>10</v>
      </c>
      <c r="BJ9" s="45">
        <v>10</v>
      </c>
      <c r="BK9" s="45">
        <v>25</v>
      </c>
      <c r="BL9" s="47">
        <v>2</v>
      </c>
      <c r="BM9" s="1" t="s">
        <v>369</v>
      </c>
      <c r="BN9" s="45">
        <v>2</v>
      </c>
      <c r="BO9" s="1">
        <v>79</v>
      </c>
      <c r="BP9" s="1">
        <v>75</v>
      </c>
      <c r="BQ9" s="1">
        <v>215</v>
      </c>
      <c r="BR9" s="1">
        <v>175</v>
      </c>
      <c r="BS9" s="1">
        <v>4</v>
      </c>
      <c r="BT9" s="48" t="s">
        <v>372</v>
      </c>
      <c r="BV9" s="27">
        <v>6</v>
      </c>
      <c r="BW9" s="54">
        <v>-10</v>
      </c>
    </row>
    <row r="10" spans="1:75" ht="15" customHeight="1" x14ac:dyDescent="0.25">
      <c r="A10" s="1">
        <v>6</v>
      </c>
      <c r="B10" s="1">
        <f t="shared" si="1"/>
        <v>30</v>
      </c>
      <c r="D10" s="34" t="s">
        <v>259</v>
      </c>
      <c r="E10" s="18">
        <v>8</v>
      </c>
      <c r="G10" s="34" t="s">
        <v>119</v>
      </c>
      <c r="H10" s="30" t="s">
        <v>289</v>
      </c>
      <c r="I10" s="30" t="s">
        <v>288</v>
      </c>
      <c r="J10" s="30" t="s">
        <v>289</v>
      </c>
      <c r="K10" s="30" t="s">
        <v>290</v>
      </c>
      <c r="L10" s="30" t="s">
        <v>285</v>
      </c>
      <c r="M10" s="30" t="s">
        <v>291</v>
      </c>
      <c r="N10" s="30" t="s">
        <v>293</v>
      </c>
      <c r="O10" s="30" t="s">
        <v>290</v>
      </c>
      <c r="P10" s="30" t="s">
        <v>285</v>
      </c>
      <c r="Q10" s="30" t="s">
        <v>290</v>
      </c>
      <c r="R10" s="30" t="s">
        <v>294</v>
      </c>
      <c r="S10" s="30" t="s">
        <v>294</v>
      </c>
      <c r="T10" s="30" t="s">
        <v>294</v>
      </c>
      <c r="U10" s="30" t="s">
        <v>294</v>
      </c>
      <c r="V10" s="30" t="s">
        <v>294</v>
      </c>
      <c r="W10" s="30" t="s">
        <v>293</v>
      </c>
      <c r="X10" s="30" t="s">
        <v>293</v>
      </c>
      <c r="Y10" s="30" t="s">
        <v>293</v>
      </c>
      <c r="Z10" s="30" t="s">
        <v>294</v>
      </c>
      <c r="AA10" s="30" t="s">
        <v>288</v>
      </c>
      <c r="AB10" s="30" t="s">
        <v>293</v>
      </c>
      <c r="AC10" s="37" t="s">
        <v>293</v>
      </c>
      <c r="AE10" s="34" t="s">
        <v>312</v>
      </c>
      <c r="AF10" s="18">
        <v>8</v>
      </c>
      <c r="AH10" s="41" t="s">
        <v>120</v>
      </c>
      <c r="AI10" s="1">
        <v>1</v>
      </c>
      <c r="AJ10" s="1">
        <v>3</v>
      </c>
      <c r="AK10" s="1">
        <v>2</v>
      </c>
      <c r="AL10" s="1">
        <v>1</v>
      </c>
      <c r="AM10" s="1">
        <v>1</v>
      </c>
      <c r="AN10" s="1">
        <v>2</v>
      </c>
      <c r="AO10" s="1">
        <v>1</v>
      </c>
      <c r="AP10" s="1">
        <v>1</v>
      </c>
      <c r="AQ10" s="1">
        <v>2</v>
      </c>
      <c r="AR10" s="18">
        <v>1</v>
      </c>
      <c r="AT10" s="34" t="s">
        <v>338</v>
      </c>
      <c r="AU10" s="45">
        <v>3</v>
      </c>
      <c r="AV10" s="45">
        <v>2</v>
      </c>
      <c r="AW10" s="45">
        <v>0</v>
      </c>
      <c r="AX10" s="45">
        <v>2</v>
      </c>
      <c r="AY10" s="45">
        <v>0</v>
      </c>
      <c r="AZ10" s="45">
        <v>1</v>
      </c>
      <c r="BA10" s="45">
        <v>2</v>
      </c>
      <c r="BB10" s="45">
        <v>3</v>
      </c>
      <c r="BC10" s="45">
        <v>0</v>
      </c>
      <c r="BD10" s="45">
        <v>-5</v>
      </c>
      <c r="BE10" s="45">
        <v>-2</v>
      </c>
      <c r="BF10" s="45">
        <v>-5</v>
      </c>
      <c r="BG10" s="45">
        <v>-5</v>
      </c>
      <c r="BH10" s="45">
        <v>-5</v>
      </c>
      <c r="BI10" s="45">
        <v>20</v>
      </c>
      <c r="BJ10" s="45">
        <v>10</v>
      </c>
      <c r="BK10" s="45">
        <v>20</v>
      </c>
      <c r="BL10" s="47">
        <v>2</v>
      </c>
      <c r="BM10" s="1" t="s">
        <v>369</v>
      </c>
      <c r="BN10" s="45">
        <v>0</v>
      </c>
      <c r="BO10" s="1">
        <v>72</v>
      </c>
      <c r="BP10" s="1">
        <v>69</v>
      </c>
      <c r="BQ10" s="1">
        <v>150</v>
      </c>
      <c r="BR10" s="1">
        <v>125</v>
      </c>
      <c r="BS10" s="1">
        <v>4</v>
      </c>
      <c r="BT10" s="48" t="s">
        <v>374</v>
      </c>
      <c r="BV10" s="27">
        <v>7</v>
      </c>
      <c r="BW10" s="54">
        <v>-9.5</v>
      </c>
    </row>
    <row r="11" spans="1:75" ht="15" customHeight="1" x14ac:dyDescent="0.25">
      <c r="A11" s="1">
        <v>7</v>
      </c>
      <c r="B11" s="1">
        <f t="shared" si="1"/>
        <v>35</v>
      </c>
      <c r="D11" s="34" t="s">
        <v>260</v>
      </c>
      <c r="E11" s="18">
        <v>9</v>
      </c>
      <c r="G11" s="34" t="s">
        <v>124</v>
      </c>
      <c r="H11" s="30" t="s">
        <v>287</v>
      </c>
      <c r="I11" s="30" t="s">
        <v>288</v>
      </c>
      <c r="J11" s="30" t="s">
        <v>291</v>
      </c>
      <c r="K11" s="30" t="s">
        <v>287</v>
      </c>
      <c r="L11" s="30" t="s">
        <v>289</v>
      </c>
      <c r="M11" s="30" t="s">
        <v>290</v>
      </c>
      <c r="N11" s="30" t="s">
        <v>292</v>
      </c>
      <c r="O11" s="30" t="s">
        <v>287</v>
      </c>
      <c r="P11" s="30" t="s">
        <v>287</v>
      </c>
      <c r="Q11" s="30" t="s">
        <v>285</v>
      </c>
      <c r="R11" s="30" t="s">
        <v>287</v>
      </c>
      <c r="S11" s="30" t="s">
        <v>290</v>
      </c>
      <c r="T11" s="30" t="s">
        <v>290</v>
      </c>
      <c r="U11" s="30" t="s">
        <v>292</v>
      </c>
      <c r="V11" s="30" t="s">
        <v>292</v>
      </c>
      <c r="W11" s="30" t="s">
        <v>292</v>
      </c>
      <c r="X11" s="30" t="s">
        <v>292</v>
      </c>
      <c r="Y11" s="30" t="s">
        <v>292</v>
      </c>
      <c r="Z11" s="30" t="s">
        <v>292</v>
      </c>
      <c r="AA11" s="30" t="s">
        <v>292</v>
      </c>
      <c r="AB11" s="30" t="s">
        <v>292</v>
      </c>
      <c r="AC11" s="37" t="s">
        <v>292</v>
      </c>
      <c r="AE11" s="34" t="s">
        <v>313</v>
      </c>
      <c r="AF11" s="18">
        <v>9</v>
      </c>
      <c r="AH11" s="41" t="s">
        <v>316</v>
      </c>
      <c r="AI11" s="1"/>
      <c r="AJ11" s="1"/>
      <c r="AK11" s="1"/>
      <c r="AL11" s="1">
        <v>1</v>
      </c>
      <c r="AM11" s="1"/>
      <c r="AN11" s="1"/>
      <c r="AO11" s="1">
        <v>1</v>
      </c>
      <c r="AP11" s="1"/>
      <c r="AQ11" s="1">
        <v>1</v>
      </c>
      <c r="AR11" s="18"/>
      <c r="AT11" s="34" t="s">
        <v>339</v>
      </c>
      <c r="AU11" s="45">
        <v>17</v>
      </c>
      <c r="AV11" s="45">
        <v>2</v>
      </c>
      <c r="AW11" s="45">
        <v>-2</v>
      </c>
      <c r="AX11" s="45">
        <v>4</v>
      </c>
      <c r="AY11" s="45">
        <v>-2</v>
      </c>
      <c r="AZ11" s="45">
        <v>1</v>
      </c>
      <c r="BA11" s="45">
        <v>-2</v>
      </c>
      <c r="BB11" s="45">
        <v>2</v>
      </c>
      <c r="BC11" s="45">
        <v>1</v>
      </c>
      <c r="BD11" s="45">
        <v>1</v>
      </c>
      <c r="BE11" s="45">
        <v>-3</v>
      </c>
      <c r="BF11" s="45">
        <v>5</v>
      </c>
      <c r="BG11" s="45">
        <v>0</v>
      </c>
      <c r="BH11" s="45">
        <v>5</v>
      </c>
      <c r="BI11" s="45">
        <v>10</v>
      </c>
      <c r="BJ11" s="45">
        <v>0</v>
      </c>
      <c r="BK11" s="45">
        <v>20</v>
      </c>
      <c r="BL11" s="47">
        <v>0.5</v>
      </c>
      <c r="BM11" s="1" t="s">
        <v>375</v>
      </c>
      <c r="BN11" s="45">
        <v>-5</v>
      </c>
      <c r="BO11" s="1">
        <v>42</v>
      </c>
      <c r="BP11" s="1">
        <v>42</v>
      </c>
      <c r="BQ11" s="1">
        <v>44</v>
      </c>
      <c r="BR11" s="1">
        <v>44</v>
      </c>
      <c r="BS11" s="1">
        <v>1</v>
      </c>
      <c r="BT11" s="48" t="s">
        <v>376</v>
      </c>
      <c r="BV11" s="27">
        <v>8</v>
      </c>
      <c r="BW11" s="54">
        <v>-9</v>
      </c>
    </row>
    <row r="12" spans="1:75" ht="15" customHeight="1" thickBot="1" x14ac:dyDescent="0.3">
      <c r="A12" s="1">
        <v>8</v>
      </c>
      <c r="B12" s="1">
        <f t="shared" si="1"/>
        <v>40</v>
      </c>
      <c r="D12" s="34" t="s">
        <v>261</v>
      </c>
      <c r="E12" s="18">
        <v>10</v>
      </c>
      <c r="G12" s="34" t="s">
        <v>274</v>
      </c>
      <c r="H12" s="30" t="s">
        <v>289</v>
      </c>
      <c r="I12" s="30" t="s">
        <v>291</v>
      </c>
      <c r="J12" s="30" t="s">
        <v>291</v>
      </c>
      <c r="K12" s="30" t="s">
        <v>285</v>
      </c>
      <c r="L12" s="30" t="s">
        <v>288</v>
      </c>
      <c r="M12" s="30" t="s">
        <v>286</v>
      </c>
      <c r="N12" s="30" t="s">
        <v>294</v>
      </c>
      <c r="O12" s="30" t="s">
        <v>289</v>
      </c>
      <c r="P12" s="30" t="s">
        <v>285</v>
      </c>
      <c r="Q12" s="30" t="s">
        <v>285</v>
      </c>
      <c r="R12" s="30" t="s">
        <v>289</v>
      </c>
      <c r="S12" s="30" t="s">
        <v>287</v>
      </c>
      <c r="T12" s="30" t="s">
        <v>287</v>
      </c>
      <c r="U12" s="30" t="s">
        <v>294</v>
      </c>
      <c r="V12" s="30" t="s">
        <v>294</v>
      </c>
      <c r="W12" s="30" t="s">
        <v>294</v>
      </c>
      <c r="X12" s="30" t="s">
        <v>293</v>
      </c>
      <c r="Y12" s="30" t="s">
        <v>294</v>
      </c>
      <c r="Z12" s="30" t="s">
        <v>293</v>
      </c>
      <c r="AA12" s="30" t="s">
        <v>294</v>
      </c>
      <c r="AB12" s="30" t="s">
        <v>290</v>
      </c>
      <c r="AC12" s="37" t="s">
        <v>293</v>
      </c>
      <c r="AE12" s="38" t="s">
        <v>314</v>
      </c>
      <c r="AF12" s="44">
        <v>10</v>
      </c>
      <c r="AH12" s="41" t="s">
        <v>132</v>
      </c>
      <c r="AI12" s="1">
        <v>1</v>
      </c>
      <c r="AJ12" s="1">
        <v>1</v>
      </c>
      <c r="AK12" s="1">
        <v>1</v>
      </c>
      <c r="AL12" s="1">
        <v>1</v>
      </c>
      <c r="AM12" s="1">
        <v>1</v>
      </c>
      <c r="AN12" s="1">
        <v>2</v>
      </c>
      <c r="AO12" s="1">
        <v>1</v>
      </c>
      <c r="AP12" s="1">
        <v>1</v>
      </c>
      <c r="AQ12" s="1">
        <v>1</v>
      </c>
      <c r="AR12" s="18">
        <v>1</v>
      </c>
      <c r="AT12" s="34" t="s">
        <v>340</v>
      </c>
      <c r="AU12" s="45">
        <v>4</v>
      </c>
      <c r="AV12" s="45">
        <v>0</v>
      </c>
      <c r="AW12" s="45">
        <v>-2</v>
      </c>
      <c r="AX12" s="45">
        <v>2</v>
      </c>
      <c r="AY12" s="45">
        <v>0</v>
      </c>
      <c r="AZ12" s="45">
        <v>4</v>
      </c>
      <c r="BA12" s="45">
        <v>0</v>
      </c>
      <c r="BB12" s="45">
        <v>2</v>
      </c>
      <c r="BC12" s="45">
        <v>2</v>
      </c>
      <c r="BD12" s="45">
        <v>1</v>
      </c>
      <c r="BE12" s="45">
        <v>-2</v>
      </c>
      <c r="BF12" s="45">
        <v>10</v>
      </c>
      <c r="BG12" s="45">
        <v>0</v>
      </c>
      <c r="BH12" s="45">
        <v>0</v>
      </c>
      <c r="BI12" s="45">
        <v>5</v>
      </c>
      <c r="BJ12" s="45">
        <v>0</v>
      </c>
      <c r="BK12" s="45">
        <v>25</v>
      </c>
      <c r="BL12" s="47">
        <v>1</v>
      </c>
      <c r="BM12" s="1" t="s">
        <v>369</v>
      </c>
      <c r="BN12" s="45">
        <v>-3</v>
      </c>
      <c r="BO12" s="1">
        <v>53</v>
      </c>
      <c r="BP12" s="1">
        <v>53</v>
      </c>
      <c r="BQ12" s="1">
        <v>84</v>
      </c>
      <c r="BR12" s="1">
        <v>84</v>
      </c>
      <c r="BS12" s="1">
        <v>2</v>
      </c>
      <c r="BT12" s="48" t="s">
        <v>378</v>
      </c>
      <c r="BV12" s="27">
        <v>9</v>
      </c>
      <c r="BW12" s="54">
        <v>-8.6999999999999993</v>
      </c>
    </row>
    <row r="13" spans="1:75" ht="15" customHeight="1" x14ac:dyDescent="0.25">
      <c r="A13" s="1">
        <v>9</v>
      </c>
      <c r="B13" s="1">
        <f t="shared" si="1"/>
        <v>45</v>
      </c>
      <c r="D13" s="34" t="s">
        <v>262</v>
      </c>
      <c r="E13" s="18">
        <v>11</v>
      </c>
      <c r="G13" s="34" t="s">
        <v>275</v>
      </c>
      <c r="H13" s="30" t="s">
        <v>287</v>
      </c>
      <c r="I13" s="30" t="s">
        <v>291</v>
      </c>
      <c r="J13" s="30" t="s">
        <v>288</v>
      </c>
      <c r="K13" s="30" t="s">
        <v>289</v>
      </c>
      <c r="L13" s="30" t="s">
        <v>286</v>
      </c>
      <c r="M13" s="30" t="s">
        <v>285</v>
      </c>
      <c r="N13" s="30" t="s">
        <v>293</v>
      </c>
      <c r="O13" s="30" t="s">
        <v>287</v>
      </c>
      <c r="P13" s="30" t="s">
        <v>289</v>
      </c>
      <c r="Q13" s="30" t="s">
        <v>289</v>
      </c>
      <c r="R13" s="30" t="s">
        <v>287</v>
      </c>
      <c r="S13" s="30" t="s">
        <v>290</v>
      </c>
      <c r="T13" s="30" t="s">
        <v>290</v>
      </c>
      <c r="U13" s="30" t="s">
        <v>293</v>
      </c>
      <c r="V13" s="30" t="s">
        <v>293</v>
      </c>
      <c r="W13" s="30" t="s">
        <v>293</v>
      </c>
      <c r="X13" s="30" t="s">
        <v>292</v>
      </c>
      <c r="Y13" s="30" t="s">
        <v>293</v>
      </c>
      <c r="Z13" s="30" t="s">
        <v>292</v>
      </c>
      <c r="AA13" s="30" t="s">
        <v>293</v>
      </c>
      <c r="AB13" s="30" t="s">
        <v>294</v>
      </c>
      <c r="AC13" s="37" t="s">
        <v>292</v>
      </c>
      <c r="AH13" s="41" t="s">
        <v>317</v>
      </c>
      <c r="AI13" s="1"/>
      <c r="AJ13" s="1">
        <v>1</v>
      </c>
      <c r="AK13" s="1">
        <v>1</v>
      </c>
      <c r="AL13" s="1"/>
      <c r="AM13" s="1"/>
      <c r="AN13" s="1">
        <v>1</v>
      </c>
      <c r="AO13" s="1"/>
      <c r="AP13" s="1"/>
      <c r="AQ13" s="1">
        <v>1</v>
      </c>
      <c r="AR13" s="18"/>
      <c r="AT13" s="34" t="s">
        <v>341</v>
      </c>
      <c r="AU13" s="45">
        <v>46</v>
      </c>
      <c r="AV13" s="45">
        <v>5</v>
      </c>
      <c r="AW13" s="45">
        <v>5</v>
      </c>
      <c r="AX13" s="45">
        <v>-3</v>
      </c>
      <c r="AY13" s="45">
        <v>0</v>
      </c>
      <c r="AZ13" s="45">
        <v>0</v>
      </c>
      <c r="BA13" s="45">
        <v>-3</v>
      </c>
      <c r="BB13" s="45">
        <v>2</v>
      </c>
      <c r="BC13" s="45">
        <v>0</v>
      </c>
      <c r="BD13" s="45">
        <v>-5</v>
      </c>
      <c r="BE13" s="45">
        <v>0</v>
      </c>
      <c r="BF13" s="45">
        <v>0</v>
      </c>
      <c r="BG13" s="45">
        <v>0</v>
      </c>
      <c r="BH13" s="45">
        <v>0</v>
      </c>
      <c r="BI13" s="45">
        <v>5</v>
      </c>
      <c r="BJ13" s="45">
        <v>0</v>
      </c>
      <c r="BK13" s="45">
        <v>25</v>
      </c>
      <c r="BL13" s="47">
        <v>0.5</v>
      </c>
      <c r="BM13" s="1" t="s">
        <v>375</v>
      </c>
      <c r="BN13" s="45">
        <v>-6</v>
      </c>
      <c r="BO13" s="1">
        <v>36</v>
      </c>
      <c r="BP13" s="1">
        <v>34</v>
      </c>
      <c r="BQ13" s="1">
        <v>35</v>
      </c>
      <c r="BR13" s="1">
        <v>31</v>
      </c>
      <c r="BS13" s="1">
        <v>1</v>
      </c>
      <c r="BT13" s="48" t="s">
        <v>379</v>
      </c>
      <c r="BV13" s="27">
        <v>10</v>
      </c>
      <c r="BW13" s="54">
        <v>-8.3000000000000007</v>
      </c>
    </row>
    <row r="14" spans="1:75" ht="15" customHeight="1" thickBot="1" x14ac:dyDescent="0.3">
      <c r="A14" s="1">
        <v>10</v>
      </c>
      <c r="B14" s="1">
        <f t="shared" si="1"/>
        <v>50</v>
      </c>
      <c r="D14" s="34" t="s">
        <v>263</v>
      </c>
      <c r="E14" s="18">
        <v>12</v>
      </c>
      <c r="G14" s="34" t="s">
        <v>276</v>
      </c>
      <c r="H14" s="30" t="s">
        <v>294</v>
      </c>
      <c r="I14" s="30" t="s">
        <v>286</v>
      </c>
      <c r="J14" s="30" t="s">
        <v>285</v>
      </c>
      <c r="K14" s="30" t="s">
        <v>290</v>
      </c>
      <c r="L14" s="30" t="s">
        <v>289</v>
      </c>
      <c r="M14" s="30" t="s">
        <v>287</v>
      </c>
      <c r="N14" s="30" t="s">
        <v>297</v>
      </c>
      <c r="O14" s="30" t="s">
        <v>294</v>
      </c>
      <c r="P14" s="30" t="s">
        <v>290</v>
      </c>
      <c r="Q14" s="30" t="s">
        <v>290</v>
      </c>
      <c r="R14" s="30" t="s">
        <v>294</v>
      </c>
      <c r="S14" s="30" t="s">
        <v>293</v>
      </c>
      <c r="T14" s="30" t="s">
        <v>293</v>
      </c>
      <c r="U14" s="30" t="s">
        <v>297</v>
      </c>
      <c r="V14" s="30" t="s">
        <v>297</v>
      </c>
      <c r="W14" s="30" t="s">
        <v>297</v>
      </c>
      <c r="X14" s="30" t="s">
        <v>298</v>
      </c>
      <c r="Y14" s="30" t="s">
        <v>297</v>
      </c>
      <c r="Z14" s="30" t="s">
        <v>298</v>
      </c>
      <c r="AA14" s="30" t="s">
        <v>297</v>
      </c>
      <c r="AB14" s="30" t="s">
        <v>292</v>
      </c>
      <c r="AC14" s="37" t="s">
        <v>301</v>
      </c>
      <c r="AH14" s="41" t="s">
        <v>318</v>
      </c>
      <c r="AI14" s="1"/>
      <c r="AJ14" s="1"/>
      <c r="AK14" s="1"/>
      <c r="AL14" s="1"/>
      <c r="AM14" s="1"/>
      <c r="AN14" s="1">
        <v>1</v>
      </c>
      <c r="AO14" s="1">
        <v>1</v>
      </c>
      <c r="AP14" s="1">
        <v>1</v>
      </c>
      <c r="AQ14" s="1"/>
      <c r="AR14" s="18"/>
      <c r="AT14" s="34" t="s">
        <v>342</v>
      </c>
      <c r="AU14" s="45">
        <v>11</v>
      </c>
      <c r="AV14" s="45">
        <v>1</v>
      </c>
      <c r="AW14" s="45">
        <v>3</v>
      </c>
      <c r="AX14" s="45">
        <v>-2</v>
      </c>
      <c r="AY14" s="45">
        <v>0</v>
      </c>
      <c r="AZ14" s="45">
        <v>0</v>
      </c>
      <c r="BA14" s="45">
        <v>-2</v>
      </c>
      <c r="BB14" s="45">
        <v>0</v>
      </c>
      <c r="BC14" s="45">
        <v>0</v>
      </c>
      <c r="BD14" s="45">
        <v>-2</v>
      </c>
      <c r="BE14" s="45">
        <v>2</v>
      </c>
      <c r="BF14" s="45">
        <v>0</v>
      </c>
      <c r="BG14" s="45">
        <v>0</v>
      </c>
      <c r="BH14" s="45">
        <v>0</v>
      </c>
      <c r="BI14" s="45">
        <v>0</v>
      </c>
      <c r="BJ14" s="45">
        <v>0</v>
      </c>
      <c r="BK14" s="45">
        <v>25</v>
      </c>
      <c r="BL14" s="47">
        <v>1</v>
      </c>
      <c r="BM14" s="1" t="s">
        <v>369</v>
      </c>
      <c r="BN14" s="45">
        <v>-2</v>
      </c>
      <c r="BO14" s="1">
        <v>64</v>
      </c>
      <c r="BP14" s="1">
        <v>62</v>
      </c>
      <c r="BQ14" s="1">
        <v>230</v>
      </c>
      <c r="BR14" s="1">
        <v>250</v>
      </c>
      <c r="BS14" s="1">
        <v>5</v>
      </c>
      <c r="BT14" s="48" t="s">
        <v>380</v>
      </c>
      <c r="BV14" s="27">
        <v>11</v>
      </c>
      <c r="BW14" s="54">
        <v>-8</v>
      </c>
    </row>
    <row r="15" spans="1:75" ht="15" customHeight="1" x14ac:dyDescent="0.25">
      <c r="A15" s="1">
        <v>11</v>
      </c>
      <c r="B15" s="1">
        <f>3*(A15-10)+50</f>
        <v>53</v>
      </c>
      <c r="D15" s="34" t="s">
        <v>264</v>
      </c>
      <c r="E15" s="18">
        <v>13</v>
      </c>
      <c r="G15" s="34" t="s">
        <v>277</v>
      </c>
      <c r="H15" s="30" t="s">
        <v>292</v>
      </c>
      <c r="I15" s="30" t="s">
        <v>289</v>
      </c>
      <c r="J15" s="30" t="s">
        <v>287</v>
      </c>
      <c r="K15" s="30" t="s">
        <v>293</v>
      </c>
      <c r="L15" s="30" t="s">
        <v>290</v>
      </c>
      <c r="M15" s="30" t="s">
        <v>294</v>
      </c>
      <c r="N15" s="30" t="s">
        <v>296</v>
      </c>
      <c r="O15" s="30" t="s">
        <v>292</v>
      </c>
      <c r="P15" s="30" t="s">
        <v>293</v>
      </c>
      <c r="Q15" s="30" t="s">
        <v>293</v>
      </c>
      <c r="R15" s="30" t="s">
        <v>292</v>
      </c>
      <c r="S15" s="30" t="s">
        <v>297</v>
      </c>
      <c r="T15" s="30" t="s">
        <v>297</v>
      </c>
      <c r="U15" s="30" t="s">
        <v>296</v>
      </c>
      <c r="V15" s="30" t="s">
        <v>296</v>
      </c>
      <c r="W15" s="30" t="s">
        <v>296</v>
      </c>
      <c r="X15" s="30" t="s">
        <v>296</v>
      </c>
      <c r="Y15" s="30" t="s">
        <v>296</v>
      </c>
      <c r="Z15" s="30" t="s">
        <v>296</v>
      </c>
      <c r="AA15" s="30" t="s">
        <v>296</v>
      </c>
      <c r="AB15" s="30" t="s">
        <v>298</v>
      </c>
      <c r="AC15" s="37" t="s">
        <v>296</v>
      </c>
      <c r="AE15" s="168" t="s">
        <v>611</v>
      </c>
      <c r="AF15" s="33"/>
      <c r="AH15" s="41" t="s">
        <v>319</v>
      </c>
      <c r="AI15" s="1">
        <v>4</v>
      </c>
      <c r="AJ15" s="1"/>
      <c r="AK15" s="1">
        <v>1</v>
      </c>
      <c r="AL15" s="1">
        <v>1</v>
      </c>
      <c r="AM15" s="1">
        <v>1</v>
      </c>
      <c r="AN15" s="1"/>
      <c r="AO15" s="1">
        <v>1</v>
      </c>
      <c r="AP15" s="1"/>
      <c r="AQ15" s="1"/>
      <c r="AR15" s="18">
        <v>3</v>
      </c>
      <c r="AT15" s="34" t="s">
        <v>343</v>
      </c>
      <c r="AU15" s="45">
        <v>18</v>
      </c>
      <c r="AV15" s="45">
        <v>2</v>
      </c>
      <c r="AW15" s="45">
        <v>0</v>
      </c>
      <c r="AX15" s="45">
        <v>0</v>
      </c>
      <c r="AY15" s="45">
        <v>0</v>
      </c>
      <c r="AZ15" s="45">
        <v>0</v>
      </c>
      <c r="BA15" s="45">
        <v>2</v>
      </c>
      <c r="BB15" s="45">
        <v>2</v>
      </c>
      <c r="BC15" s="45">
        <v>0</v>
      </c>
      <c r="BD15" s="45">
        <v>-3</v>
      </c>
      <c r="BE15" s="45">
        <v>2</v>
      </c>
      <c r="BF15" s="45">
        <v>-5</v>
      </c>
      <c r="BG15" s="45">
        <v>-5</v>
      </c>
      <c r="BH15" s="45">
        <v>-5</v>
      </c>
      <c r="BI15" s="45">
        <v>5</v>
      </c>
      <c r="BJ15" s="45">
        <v>5</v>
      </c>
      <c r="BK15" s="45">
        <v>25</v>
      </c>
      <c r="BL15" s="47">
        <v>1</v>
      </c>
      <c r="BM15" s="1" t="s">
        <v>369</v>
      </c>
      <c r="BN15" s="45">
        <v>1</v>
      </c>
      <c r="BO15" s="1">
        <v>75</v>
      </c>
      <c r="BP15" s="1">
        <v>71</v>
      </c>
      <c r="BQ15" s="1">
        <v>190</v>
      </c>
      <c r="BR15" s="1">
        <v>135</v>
      </c>
      <c r="BS15" s="1">
        <v>4</v>
      </c>
      <c r="BT15" s="48" t="s">
        <v>381</v>
      </c>
      <c r="BV15" s="27">
        <v>12</v>
      </c>
      <c r="BW15" s="54">
        <v>-7.7</v>
      </c>
    </row>
    <row r="16" spans="1:75" ht="15" customHeight="1" x14ac:dyDescent="0.25">
      <c r="A16" s="1">
        <v>12</v>
      </c>
      <c r="B16" s="1">
        <f t="shared" ref="B16:B24" si="2">3*(A16-10)+50</f>
        <v>56</v>
      </c>
      <c r="D16" s="34" t="s">
        <v>265</v>
      </c>
      <c r="E16" s="18">
        <v>14</v>
      </c>
      <c r="G16" s="34" t="s">
        <v>136</v>
      </c>
      <c r="H16" s="30" t="s">
        <v>285</v>
      </c>
      <c r="I16" s="30" t="s">
        <v>289</v>
      </c>
      <c r="J16" s="30" t="s">
        <v>289</v>
      </c>
      <c r="K16" s="30" t="s">
        <v>289</v>
      </c>
      <c r="L16" s="30" t="s">
        <v>289</v>
      </c>
      <c r="M16" s="30" t="s">
        <v>300</v>
      </c>
      <c r="N16" s="30" t="s">
        <v>291</v>
      </c>
      <c r="O16" s="30" t="s">
        <v>289</v>
      </c>
      <c r="P16" s="30" t="s">
        <v>289</v>
      </c>
      <c r="Q16" s="30" t="s">
        <v>289</v>
      </c>
      <c r="R16" s="30" t="s">
        <v>289</v>
      </c>
      <c r="S16" s="30" t="s">
        <v>288</v>
      </c>
      <c r="T16" s="30" t="s">
        <v>285</v>
      </c>
      <c r="U16" s="30" t="s">
        <v>289</v>
      </c>
      <c r="V16" s="30" t="s">
        <v>289</v>
      </c>
      <c r="W16" s="30" t="s">
        <v>285</v>
      </c>
      <c r="X16" s="30" t="s">
        <v>288</v>
      </c>
      <c r="Y16" s="30" t="s">
        <v>289</v>
      </c>
      <c r="Z16" s="30" t="s">
        <v>289</v>
      </c>
      <c r="AA16" s="30" t="s">
        <v>289</v>
      </c>
      <c r="AB16" s="30" t="s">
        <v>289</v>
      </c>
      <c r="AC16" s="37" t="s">
        <v>285</v>
      </c>
      <c r="AE16" s="34" t="s">
        <v>17</v>
      </c>
      <c r="AF16" s="169">
        <f>VLOOKUP(Front!D13,Stat_Bonus,2,FALSE)</f>
        <v>0</v>
      </c>
      <c r="AH16" s="41" t="s">
        <v>320</v>
      </c>
      <c r="AI16" s="1">
        <v>6</v>
      </c>
      <c r="AJ16" s="1">
        <v>4</v>
      </c>
      <c r="AK16" s="1">
        <v>4</v>
      </c>
      <c r="AL16" s="1">
        <v>4</v>
      </c>
      <c r="AM16" s="1">
        <v>4</v>
      </c>
      <c r="AN16" s="1">
        <v>3</v>
      </c>
      <c r="AO16" s="1">
        <v>4</v>
      </c>
      <c r="AP16" s="1">
        <v>4</v>
      </c>
      <c r="AQ16" s="1">
        <v>5</v>
      </c>
      <c r="AR16" s="18">
        <v>7</v>
      </c>
      <c r="AT16" s="34" t="s">
        <v>344</v>
      </c>
      <c r="AU16" s="45">
        <v>29</v>
      </c>
      <c r="AV16" s="45">
        <v>5</v>
      </c>
      <c r="AW16" s="45">
        <v>4</v>
      </c>
      <c r="AX16" s="45">
        <v>-2</v>
      </c>
      <c r="AY16" s="45">
        <v>0</v>
      </c>
      <c r="AZ16" s="45">
        <v>0</v>
      </c>
      <c r="BA16" s="45">
        <v>-5</v>
      </c>
      <c r="BB16" s="45">
        <v>4</v>
      </c>
      <c r="BC16" s="45">
        <v>0</v>
      </c>
      <c r="BD16" s="45">
        <v>-4</v>
      </c>
      <c r="BE16" s="45">
        <v>0</v>
      </c>
      <c r="BF16" s="45">
        <v>0</v>
      </c>
      <c r="BG16" s="45">
        <v>25</v>
      </c>
      <c r="BH16" s="45">
        <v>20</v>
      </c>
      <c r="BI16" s="45">
        <v>10</v>
      </c>
      <c r="BJ16" s="45">
        <v>0</v>
      </c>
      <c r="BK16" s="45">
        <v>25</v>
      </c>
      <c r="BL16" s="47">
        <v>1</v>
      </c>
      <c r="BM16" s="1" t="s">
        <v>375</v>
      </c>
      <c r="BN16" s="45">
        <v>-5</v>
      </c>
      <c r="BO16" s="1">
        <v>42</v>
      </c>
      <c r="BP16" s="1">
        <v>39</v>
      </c>
      <c r="BQ16" s="1">
        <v>50</v>
      </c>
      <c r="BR16" s="1">
        <v>46</v>
      </c>
      <c r="BS16" s="1">
        <v>2</v>
      </c>
      <c r="BT16" s="48" t="s">
        <v>382</v>
      </c>
      <c r="BV16" s="27">
        <v>13</v>
      </c>
      <c r="BW16" s="54">
        <v>-7.3</v>
      </c>
    </row>
    <row r="17" spans="1:75" ht="15" customHeight="1" x14ac:dyDescent="0.25">
      <c r="A17" s="1">
        <v>13</v>
      </c>
      <c r="B17" s="1">
        <f t="shared" si="2"/>
        <v>59</v>
      </c>
      <c r="D17" s="34" t="s">
        <v>266</v>
      </c>
      <c r="E17" s="18">
        <v>15</v>
      </c>
      <c r="G17" s="34" t="s">
        <v>142</v>
      </c>
      <c r="H17" s="30" t="s">
        <v>285</v>
      </c>
      <c r="I17" s="30" t="s">
        <v>285</v>
      </c>
      <c r="J17" s="30" t="s">
        <v>289</v>
      </c>
      <c r="K17" s="30" t="s">
        <v>286</v>
      </c>
      <c r="L17" s="30" t="s">
        <v>285</v>
      </c>
      <c r="M17" s="30" t="s">
        <v>288</v>
      </c>
      <c r="N17" s="30" t="s">
        <v>286</v>
      </c>
      <c r="O17" s="30" t="s">
        <v>285</v>
      </c>
      <c r="P17" s="30" t="s">
        <v>285</v>
      </c>
      <c r="Q17" s="30" t="s">
        <v>289</v>
      </c>
      <c r="R17" s="30" t="s">
        <v>289</v>
      </c>
      <c r="S17" s="30" t="s">
        <v>285</v>
      </c>
      <c r="T17" s="30" t="s">
        <v>289</v>
      </c>
      <c r="U17" s="30" t="s">
        <v>289</v>
      </c>
      <c r="V17" s="30" t="s">
        <v>289</v>
      </c>
      <c r="W17" s="30" t="s">
        <v>289</v>
      </c>
      <c r="X17" s="30" t="s">
        <v>289</v>
      </c>
      <c r="Y17" s="30" t="s">
        <v>289</v>
      </c>
      <c r="Z17" s="30" t="s">
        <v>289</v>
      </c>
      <c r="AA17" s="30" t="s">
        <v>289</v>
      </c>
      <c r="AB17" s="30" t="s">
        <v>289</v>
      </c>
      <c r="AC17" s="37" t="s">
        <v>289</v>
      </c>
      <c r="AE17" s="34" t="s">
        <v>18</v>
      </c>
      <c r="AF17" s="169">
        <f>VLOOKUP(Front!D14,Stat_Bonus,2,FALSE)</f>
        <v>0</v>
      </c>
      <c r="AH17" s="41" t="s">
        <v>157</v>
      </c>
      <c r="AI17" s="1"/>
      <c r="AJ17" s="1">
        <v>1</v>
      </c>
      <c r="AK17" s="1"/>
      <c r="AL17" s="1">
        <v>1</v>
      </c>
      <c r="AM17" s="1">
        <v>1</v>
      </c>
      <c r="AN17" s="1"/>
      <c r="AO17" s="1"/>
      <c r="AP17" s="1"/>
      <c r="AQ17" s="1"/>
      <c r="AR17" s="18"/>
      <c r="AT17" s="34" t="s">
        <v>345</v>
      </c>
      <c r="AU17" s="45">
        <v>30</v>
      </c>
      <c r="AV17" s="45">
        <v>3</v>
      </c>
      <c r="AW17" s="45">
        <v>2</v>
      </c>
      <c r="AX17" s="45">
        <v>-2</v>
      </c>
      <c r="AY17" s="45">
        <v>0</v>
      </c>
      <c r="AZ17" s="45">
        <v>-2</v>
      </c>
      <c r="BA17" s="45">
        <v>-2</v>
      </c>
      <c r="BB17" s="45">
        <v>1</v>
      </c>
      <c r="BC17" s="45">
        <v>0</v>
      </c>
      <c r="BD17" s="45">
        <v>-2</v>
      </c>
      <c r="BE17" s="45">
        <v>1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25</v>
      </c>
      <c r="BL17" s="47">
        <v>0.5</v>
      </c>
      <c r="BM17" s="1" t="s">
        <v>369</v>
      </c>
      <c r="BN17" s="45">
        <v>-3</v>
      </c>
      <c r="BO17" s="1">
        <v>54</v>
      </c>
      <c r="BP17" s="1">
        <v>48</v>
      </c>
      <c r="BQ17" s="1">
        <v>93</v>
      </c>
      <c r="BR17" s="1">
        <v>80</v>
      </c>
      <c r="BS17" s="1">
        <v>3</v>
      </c>
      <c r="BT17" s="48" t="s">
        <v>383</v>
      </c>
      <c r="BV17" s="27">
        <v>14</v>
      </c>
      <c r="BW17" s="54">
        <v>-7</v>
      </c>
    </row>
    <row r="18" spans="1:75" ht="15" customHeight="1" x14ac:dyDescent="0.25">
      <c r="A18" s="1">
        <v>14</v>
      </c>
      <c r="B18" s="1">
        <f t="shared" si="2"/>
        <v>62</v>
      </c>
      <c r="D18" s="34" t="s">
        <v>267</v>
      </c>
      <c r="E18" s="18">
        <v>16</v>
      </c>
      <c r="G18" s="34" t="s">
        <v>153</v>
      </c>
      <c r="H18" s="30" t="s">
        <v>290</v>
      </c>
      <c r="I18" s="30" t="s">
        <v>292</v>
      </c>
      <c r="J18" s="30" t="s">
        <v>292</v>
      </c>
      <c r="K18" s="30" t="s">
        <v>294</v>
      </c>
      <c r="L18" s="30" t="s">
        <v>292</v>
      </c>
      <c r="M18" s="30" t="s">
        <v>292</v>
      </c>
      <c r="N18" s="30" t="s">
        <v>286</v>
      </c>
      <c r="O18" s="30" t="s">
        <v>293</v>
      </c>
      <c r="P18" s="30" t="s">
        <v>293</v>
      </c>
      <c r="Q18" s="30" t="s">
        <v>294</v>
      </c>
      <c r="R18" s="30" t="s">
        <v>293</v>
      </c>
      <c r="S18" s="30" t="s">
        <v>287</v>
      </c>
      <c r="T18" s="30" t="s">
        <v>286</v>
      </c>
      <c r="U18" s="30" t="s">
        <v>289</v>
      </c>
      <c r="V18" s="30" t="s">
        <v>290</v>
      </c>
      <c r="W18" s="30" t="s">
        <v>291</v>
      </c>
      <c r="X18" s="30" t="s">
        <v>291</v>
      </c>
      <c r="Y18" s="30" t="s">
        <v>285</v>
      </c>
      <c r="Z18" s="30" t="s">
        <v>286</v>
      </c>
      <c r="AA18" s="30" t="s">
        <v>290</v>
      </c>
      <c r="AB18" s="30" t="s">
        <v>287</v>
      </c>
      <c r="AC18" s="37" t="s">
        <v>288</v>
      </c>
      <c r="AE18" s="34" t="s">
        <v>19</v>
      </c>
      <c r="AF18" s="169">
        <f>VLOOKUP(Front!D15,Stat_Bonus,2,FALSE)</f>
        <v>0</v>
      </c>
      <c r="AH18" s="41" t="s">
        <v>158</v>
      </c>
      <c r="AI18" s="1"/>
      <c r="AJ18" s="1"/>
      <c r="AK18" s="1"/>
      <c r="AL18" s="1"/>
      <c r="AM18" s="1"/>
      <c r="AN18" s="1"/>
      <c r="AO18" s="1">
        <v>1</v>
      </c>
      <c r="AP18" s="1"/>
      <c r="AQ18" s="1"/>
      <c r="AR18" s="18"/>
      <c r="AT18" s="34" t="s">
        <v>346</v>
      </c>
      <c r="AU18" s="45">
        <v>41</v>
      </c>
      <c r="AV18" s="45">
        <v>0</v>
      </c>
      <c r="AW18" s="45">
        <v>1</v>
      </c>
      <c r="AX18" s="45">
        <v>0</v>
      </c>
      <c r="AY18" s="45">
        <v>0</v>
      </c>
      <c r="AZ18" s="45">
        <v>-1</v>
      </c>
      <c r="BA18" s="45">
        <v>0</v>
      </c>
      <c r="BB18" s="45">
        <v>0</v>
      </c>
      <c r="BC18" s="45">
        <v>-1</v>
      </c>
      <c r="BD18" s="45">
        <v>0</v>
      </c>
      <c r="BE18" s="45">
        <v>1</v>
      </c>
      <c r="BF18" s="45">
        <v>0</v>
      </c>
      <c r="BG18" s="45">
        <v>0</v>
      </c>
      <c r="BH18" s="45">
        <v>-5</v>
      </c>
      <c r="BI18" s="45">
        <v>0</v>
      </c>
      <c r="BJ18" s="45">
        <v>25</v>
      </c>
      <c r="BK18" s="45">
        <v>25</v>
      </c>
      <c r="BL18" s="47">
        <v>1</v>
      </c>
      <c r="BM18" s="1" t="s">
        <v>369</v>
      </c>
      <c r="BN18" s="45">
        <v>-2</v>
      </c>
      <c r="BO18" s="1">
        <v>63</v>
      </c>
      <c r="BP18" s="1">
        <v>57</v>
      </c>
      <c r="BQ18" s="1">
        <v>159</v>
      </c>
      <c r="BR18" s="1">
        <v>135</v>
      </c>
      <c r="BS18" s="1">
        <v>4</v>
      </c>
      <c r="BT18" s="35" t="s">
        <v>429</v>
      </c>
      <c r="BV18" s="27">
        <v>15</v>
      </c>
      <c r="BW18" s="54">
        <v>-6.7</v>
      </c>
    </row>
    <row r="19" spans="1:75" ht="15" customHeight="1" x14ac:dyDescent="0.25">
      <c r="A19" s="1">
        <v>15</v>
      </c>
      <c r="B19" s="1">
        <f t="shared" si="2"/>
        <v>65</v>
      </c>
      <c r="D19" s="34" t="s">
        <v>268</v>
      </c>
      <c r="E19" s="18">
        <v>17</v>
      </c>
      <c r="G19" s="34" t="s">
        <v>156</v>
      </c>
      <c r="H19" s="30" t="s">
        <v>289</v>
      </c>
      <c r="I19" s="30" t="s">
        <v>285</v>
      </c>
      <c r="J19" s="30" t="s">
        <v>287</v>
      </c>
      <c r="K19" s="30" t="s">
        <v>285</v>
      </c>
      <c r="L19" s="30" t="s">
        <v>285</v>
      </c>
      <c r="M19" s="30" t="s">
        <v>288</v>
      </c>
      <c r="N19" s="30" t="s">
        <v>285</v>
      </c>
      <c r="O19" s="30" t="s">
        <v>288</v>
      </c>
      <c r="P19" s="30" t="s">
        <v>287</v>
      </c>
      <c r="Q19" s="30" t="s">
        <v>285</v>
      </c>
      <c r="R19" s="30" t="s">
        <v>299</v>
      </c>
      <c r="S19" s="30" t="s">
        <v>287</v>
      </c>
      <c r="T19" s="30" t="s">
        <v>287</v>
      </c>
      <c r="U19" s="30" t="s">
        <v>287</v>
      </c>
      <c r="V19" s="30" t="s">
        <v>288</v>
      </c>
      <c r="W19" s="30" t="s">
        <v>290</v>
      </c>
      <c r="X19" s="30" t="s">
        <v>290</v>
      </c>
      <c r="Y19" s="30" t="s">
        <v>290</v>
      </c>
      <c r="Z19" s="30" t="s">
        <v>290</v>
      </c>
      <c r="AA19" s="30" t="s">
        <v>290</v>
      </c>
      <c r="AB19" s="30" t="s">
        <v>290</v>
      </c>
      <c r="AC19" s="37" t="s">
        <v>287</v>
      </c>
      <c r="AE19" s="34" t="s">
        <v>20</v>
      </c>
      <c r="AF19" s="169">
        <f>VLOOKUP(Front!D16,Stat_Bonus,2,FALSE)</f>
        <v>0</v>
      </c>
      <c r="AH19" s="41" t="s">
        <v>159</v>
      </c>
      <c r="AI19" s="1"/>
      <c r="AJ19" s="1">
        <v>3</v>
      </c>
      <c r="AK19" s="1">
        <v>2</v>
      </c>
      <c r="AL19" s="1">
        <v>1</v>
      </c>
      <c r="AM19" s="1">
        <v>1</v>
      </c>
      <c r="AN19" s="1">
        <v>1</v>
      </c>
      <c r="AO19" s="1"/>
      <c r="AP19" s="1">
        <v>2</v>
      </c>
      <c r="AQ19" s="1">
        <v>2</v>
      </c>
      <c r="AR19" s="18"/>
      <c r="AT19" s="34" t="s">
        <v>347</v>
      </c>
      <c r="AU19" s="45">
        <v>50</v>
      </c>
      <c r="AV19" s="45">
        <v>0</v>
      </c>
      <c r="AW19" s="45">
        <v>0</v>
      </c>
      <c r="AX19" s="45">
        <v>0</v>
      </c>
      <c r="AY19" s="45">
        <v>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25</v>
      </c>
      <c r="BL19" s="47">
        <v>1</v>
      </c>
      <c r="BM19" s="1" t="s">
        <v>369</v>
      </c>
      <c r="BN19" s="45">
        <v>0</v>
      </c>
      <c r="BO19" s="1">
        <v>70</v>
      </c>
      <c r="BP19" s="1">
        <v>65</v>
      </c>
      <c r="BQ19" s="1">
        <v>185</v>
      </c>
      <c r="BR19" s="1">
        <v>154</v>
      </c>
      <c r="BS19" s="1">
        <v>5</v>
      </c>
      <c r="BT19" s="35" t="s">
        <v>429</v>
      </c>
      <c r="BV19" s="27">
        <v>16</v>
      </c>
      <c r="BW19" s="54">
        <v>-6.3</v>
      </c>
    </row>
    <row r="20" spans="1:75" ht="15" customHeight="1" x14ac:dyDescent="0.25">
      <c r="A20" s="1">
        <v>16</v>
      </c>
      <c r="B20" s="1">
        <f t="shared" si="2"/>
        <v>68</v>
      </c>
      <c r="D20" s="34" t="s">
        <v>269</v>
      </c>
      <c r="E20" s="18">
        <v>18</v>
      </c>
      <c r="G20" s="34" t="s">
        <v>278</v>
      </c>
      <c r="H20" s="30" t="s">
        <v>289</v>
      </c>
      <c r="I20" s="30" t="s">
        <v>289</v>
      </c>
      <c r="J20" s="30" t="s">
        <v>291</v>
      </c>
      <c r="K20" s="30" t="s">
        <v>286</v>
      </c>
      <c r="L20" s="30" t="s">
        <v>286</v>
      </c>
      <c r="M20" s="30" t="s">
        <v>286</v>
      </c>
      <c r="N20" s="30" t="s">
        <v>287</v>
      </c>
      <c r="O20" s="30" t="s">
        <v>289</v>
      </c>
      <c r="P20" s="30" t="s">
        <v>285</v>
      </c>
      <c r="Q20" s="30" t="s">
        <v>286</v>
      </c>
      <c r="R20" s="30" t="s">
        <v>285</v>
      </c>
      <c r="S20" s="30" t="s">
        <v>287</v>
      </c>
      <c r="T20" s="30" t="s">
        <v>287</v>
      </c>
      <c r="U20" s="30" t="s">
        <v>290</v>
      </c>
      <c r="V20" s="30" t="s">
        <v>290</v>
      </c>
      <c r="W20" s="30" t="s">
        <v>290</v>
      </c>
      <c r="X20" s="30" t="s">
        <v>290</v>
      </c>
      <c r="Y20" s="30" t="s">
        <v>290</v>
      </c>
      <c r="Z20" s="30" t="s">
        <v>290</v>
      </c>
      <c r="AA20" s="30" t="s">
        <v>290</v>
      </c>
      <c r="AB20" s="30" t="s">
        <v>287</v>
      </c>
      <c r="AC20" s="37" t="s">
        <v>290</v>
      </c>
      <c r="AE20" s="34" t="s">
        <v>21</v>
      </c>
      <c r="AF20" s="169">
        <f>VLOOKUP(Front!D17,Stat_Bonus,2,FALSE)</f>
        <v>0</v>
      </c>
      <c r="AH20" s="41" t="s">
        <v>162</v>
      </c>
      <c r="AI20" s="1"/>
      <c r="AJ20" s="1"/>
      <c r="AK20" s="1"/>
      <c r="AL20" s="1">
        <v>1</v>
      </c>
      <c r="AM20" s="1"/>
      <c r="AN20" s="1"/>
      <c r="AO20" s="1"/>
      <c r="AP20" s="1"/>
      <c r="AQ20" s="1"/>
      <c r="AR20" s="18"/>
      <c r="AT20" s="34" t="s">
        <v>348</v>
      </c>
      <c r="AU20" s="45">
        <v>21</v>
      </c>
      <c r="AV20" s="45">
        <v>-2</v>
      </c>
      <c r="AW20" s="45">
        <v>3</v>
      </c>
      <c r="AX20" s="45">
        <v>0</v>
      </c>
      <c r="AY20" s="45">
        <v>0</v>
      </c>
      <c r="AZ20" s="45">
        <v>0</v>
      </c>
      <c r="BA20" s="45">
        <v>3</v>
      </c>
      <c r="BB20" s="45">
        <v>-1</v>
      </c>
      <c r="BC20" s="45">
        <v>1</v>
      </c>
      <c r="BD20" s="45">
        <v>0</v>
      </c>
      <c r="BE20" s="45">
        <v>3</v>
      </c>
      <c r="BF20" s="45">
        <v>5</v>
      </c>
      <c r="BG20" s="45">
        <v>-5</v>
      </c>
      <c r="BH20" s="45">
        <v>-5</v>
      </c>
      <c r="BI20" s="45">
        <v>0</v>
      </c>
      <c r="BJ20" s="45">
        <v>0</v>
      </c>
      <c r="BK20" s="45">
        <v>30</v>
      </c>
      <c r="BL20" s="47">
        <v>1</v>
      </c>
      <c r="BM20" s="1" t="s">
        <v>369</v>
      </c>
      <c r="BN20" s="45">
        <v>2</v>
      </c>
      <c r="BO20" s="1">
        <v>77</v>
      </c>
      <c r="BP20" s="1">
        <v>70</v>
      </c>
      <c r="BQ20" s="1">
        <v>250</v>
      </c>
      <c r="BR20" s="1">
        <v>190</v>
      </c>
      <c r="BS20" s="1">
        <v>5</v>
      </c>
      <c r="BT20" s="35" t="s">
        <v>429</v>
      </c>
      <c r="BV20" s="27">
        <v>17</v>
      </c>
      <c r="BW20" s="54">
        <v>-6</v>
      </c>
    </row>
    <row r="21" spans="1:75" ht="15" customHeight="1" x14ac:dyDescent="0.25">
      <c r="A21" s="1">
        <v>17</v>
      </c>
      <c r="B21" s="1">
        <f t="shared" si="2"/>
        <v>71</v>
      </c>
      <c r="D21" s="34" t="s">
        <v>270</v>
      </c>
      <c r="E21" s="18">
        <v>19</v>
      </c>
      <c r="G21" s="34" t="s">
        <v>167</v>
      </c>
      <c r="H21" s="30" t="s">
        <v>288</v>
      </c>
      <c r="I21" s="30" t="s">
        <v>285</v>
      </c>
      <c r="J21" s="30" t="s">
        <v>285</v>
      </c>
      <c r="K21" s="30" t="s">
        <v>285</v>
      </c>
      <c r="L21" s="30" t="s">
        <v>285</v>
      </c>
      <c r="M21" s="30" t="s">
        <v>286</v>
      </c>
      <c r="N21" s="30" t="s">
        <v>291</v>
      </c>
      <c r="O21" s="30" t="s">
        <v>285</v>
      </c>
      <c r="P21" s="30" t="s">
        <v>285</v>
      </c>
      <c r="Q21" s="30" t="s">
        <v>286</v>
      </c>
      <c r="R21" s="30" t="s">
        <v>285</v>
      </c>
      <c r="S21" s="30" t="s">
        <v>291</v>
      </c>
      <c r="T21" s="30" t="s">
        <v>286</v>
      </c>
      <c r="U21" s="30" t="s">
        <v>286</v>
      </c>
      <c r="V21" s="30" t="s">
        <v>286</v>
      </c>
      <c r="W21" s="30" t="s">
        <v>288</v>
      </c>
      <c r="X21" s="30" t="s">
        <v>288</v>
      </c>
      <c r="Y21" s="30" t="s">
        <v>286</v>
      </c>
      <c r="Z21" s="30" t="s">
        <v>288</v>
      </c>
      <c r="AA21" s="30" t="s">
        <v>286</v>
      </c>
      <c r="AB21" s="30" t="s">
        <v>286</v>
      </c>
      <c r="AC21" s="37" t="s">
        <v>288</v>
      </c>
      <c r="AE21" s="34" t="s">
        <v>23</v>
      </c>
      <c r="AF21" s="169">
        <f>VLOOKUP(Front!D18,Stat_Bonus,2,FALSE)</f>
        <v>0</v>
      </c>
      <c r="AH21" s="41" t="s">
        <v>164</v>
      </c>
      <c r="AI21" s="1"/>
      <c r="AJ21" s="1"/>
      <c r="AK21" s="1">
        <v>1</v>
      </c>
      <c r="AL21" s="1">
        <v>1</v>
      </c>
      <c r="AM21" s="1"/>
      <c r="AN21" s="1">
        <v>1</v>
      </c>
      <c r="AO21" s="1"/>
      <c r="AP21" s="1"/>
      <c r="AQ21" s="1"/>
      <c r="AR21" s="18"/>
      <c r="AT21" s="34" t="s">
        <v>349</v>
      </c>
      <c r="AU21" s="45">
        <v>34</v>
      </c>
      <c r="AV21" s="45">
        <v>0</v>
      </c>
      <c r="AW21" s="45">
        <v>1</v>
      </c>
      <c r="AX21" s="45">
        <v>0</v>
      </c>
      <c r="AY21" s="45">
        <v>0</v>
      </c>
      <c r="AZ21" s="45">
        <v>0</v>
      </c>
      <c r="BA21" s="45">
        <v>1</v>
      </c>
      <c r="BB21" s="45">
        <v>0</v>
      </c>
      <c r="BC21" s="45">
        <v>0</v>
      </c>
      <c r="BD21" s="45">
        <v>0</v>
      </c>
      <c r="BE21" s="45">
        <v>1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30</v>
      </c>
      <c r="BL21" s="47">
        <v>1</v>
      </c>
      <c r="BM21" s="1" t="s">
        <v>369</v>
      </c>
      <c r="BN21" s="45">
        <v>1</v>
      </c>
      <c r="BO21" s="1">
        <v>76</v>
      </c>
      <c r="BP21" s="1">
        <v>69</v>
      </c>
      <c r="BQ21" s="1">
        <v>230</v>
      </c>
      <c r="BR21" s="1">
        <v>180</v>
      </c>
      <c r="BS21" s="1">
        <v>5</v>
      </c>
      <c r="BT21" s="35" t="s">
        <v>429</v>
      </c>
      <c r="BV21" s="27">
        <v>18</v>
      </c>
      <c r="BW21" s="54">
        <f>ROUND(BW$26-5/6,1)</f>
        <v>-5.8</v>
      </c>
    </row>
    <row r="22" spans="1:75" ht="15" customHeight="1" x14ac:dyDescent="0.25">
      <c r="A22" s="1">
        <v>18</v>
      </c>
      <c r="B22" s="1">
        <f t="shared" si="2"/>
        <v>74</v>
      </c>
      <c r="D22" s="34" t="s">
        <v>271</v>
      </c>
      <c r="E22" s="18">
        <v>20</v>
      </c>
      <c r="G22" s="34" t="s">
        <v>179</v>
      </c>
      <c r="H22" s="30" t="s">
        <v>290</v>
      </c>
      <c r="I22" s="30" t="s">
        <v>292</v>
      </c>
      <c r="J22" s="30" t="s">
        <v>292</v>
      </c>
      <c r="K22" s="30" t="s">
        <v>292</v>
      </c>
      <c r="L22" s="30" t="s">
        <v>292</v>
      </c>
      <c r="M22" s="30" t="s">
        <v>292</v>
      </c>
      <c r="N22" s="30" t="s">
        <v>290</v>
      </c>
      <c r="O22" s="30" t="s">
        <v>293</v>
      </c>
      <c r="P22" s="30" t="s">
        <v>287</v>
      </c>
      <c r="Q22" s="30" t="s">
        <v>293</v>
      </c>
      <c r="R22" s="30" t="s">
        <v>294</v>
      </c>
      <c r="S22" s="30" t="s">
        <v>290</v>
      </c>
      <c r="T22" s="30" t="s">
        <v>287</v>
      </c>
      <c r="U22" s="30" t="s">
        <v>286</v>
      </c>
      <c r="V22" s="30" t="s">
        <v>289</v>
      </c>
      <c r="W22" s="30" t="s">
        <v>291</v>
      </c>
      <c r="X22" s="30" t="s">
        <v>291</v>
      </c>
      <c r="Y22" s="30" t="s">
        <v>288</v>
      </c>
      <c r="Z22" s="30" t="s">
        <v>285</v>
      </c>
      <c r="AA22" s="30" t="s">
        <v>286</v>
      </c>
      <c r="AB22" s="30" t="s">
        <v>289</v>
      </c>
      <c r="AC22" s="37" t="s">
        <v>291</v>
      </c>
      <c r="AE22" s="34" t="s">
        <v>22</v>
      </c>
      <c r="AF22" s="169">
        <f>VLOOKUP(Front!D19,Stat_Bonus,2,FALSE)</f>
        <v>0</v>
      </c>
      <c r="AH22" s="41" t="s">
        <v>321</v>
      </c>
      <c r="AI22" s="1">
        <v>19</v>
      </c>
      <c r="AJ22" s="1">
        <v>8</v>
      </c>
      <c r="AK22" s="1">
        <v>13</v>
      </c>
      <c r="AL22" s="1">
        <v>15</v>
      </c>
      <c r="AM22" s="1">
        <v>14</v>
      </c>
      <c r="AN22" s="1">
        <v>11</v>
      </c>
      <c r="AO22" s="1">
        <v>13</v>
      </c>
      <c r="AP22" s="1">
        <v>13</v>
      </c>
      <c r="AQ22" s="1">
        <v>13</v>
      </c>
      <c r="AR22" s="18">
        <v>17</v>
      </c>
      <c r="AT22" s="34" t="s">
        <v>350</v>
      </c>
      <c r="AU22" s="45">
        <v>27</v>
      </c>
      <c r="AV22" s="45">
        <v>-1</v>
      </c>
      <c r="AW22" s="45">
        <v>1</v>
      </c>
      <c r="AX22" s="45">
        <v>-2</v>
      </c>
      <c r="AY22" s="45">
        <v>0</v>
      </c>
      <c r="AZ22" s="45">
        <v>0</v>
      </c>
      <c r="BA22" s="45">
        <v>-2</v>
      </c>
      <c r="BB22" s="45">
        <v>0</v>
      </c>
      <c r="BC22" s="45">
        <v>-1</v>
      </c>
      <c r="BD22" s="45">
        <v>-4</v>
      </c>
      <c r="BE22" s="45">
        <v>2</v>
      </c>
      <c r="BF22" s="45">
        <v>0</v>
      </c>
      <c r="BG22" s="45">
        <v>0</v>
      </c>
      <c r="BH22" s="45">
        <v>0</v>
      </c>
      <c r="BI22" s="45">
        <v>10</v>
      </c>
      <c r="BJ22" s="45">
        <v>15</v>
      </c>
      <c r="BK22" s="45">
        <v>35</v>
      </c>
      <c r="BL22" s="47">
        <v>1</v>
      </c>
      <c r="BM22" s="1" t="s">
        <v>377</v>
      </c>
      <c r="BN22" s="45">
        <v>3</v>
      </c>
      <c r="BO22" s="1">
        <v>90</v>
      </c>
      <c r="BP22" s="1">
        <v>80</v>
      </c>
      <c r="BQ22" s="1">
        <v>400</v>
      </c>
      <c r="BR22" s="1">
        <v>330</v>
      </c>
      <c r="BS22" s="1">
        <v>6</v>
      </c>
      <c r="BT22" s="48" t="s">
        <v>384</v>
      </c>
      <c r="BV22" s="27">
        <v>19</v>
      </c>
      <c r="BW22" s="54">
        <f>ROUND(BW$26-4/6,1)</f>
        <v>-5.7</v>
      </c>
    </row>
    <row r="23" spans="1:75" ht="15" customHeight="1" x14ac:dyDescent="0.25">
      <c r="A23" s="1">
        <v>19</v>
      </c>
      <c r="B23" s="1">
        <f t="shared" si="2"/>
        <v>77</v>
      </c>
      <c r="D23" s="34" t="s">
        <v>272</v>
      </c>
      <c r="E23" s="18">
        <v>21</v>
      </c>
      <c r="G23" s="34" t="s">
        <v>183</v>
      </c>
      <c r="H23" s="30" t="s">
        <v>289</v>
      </c>
      <c r="I23" s="30" t="s">
        <v>289</v>
      </c>
      <c r="J23" s="30" t="s">
        <v>290</v>
      </c>
      <c r="K23" s="30" t="s">
        <v>289</v>
      </c>
      <c r="L23" s="30" t="s">
        <v>289</v>
      </c>
      <c r="M23" s="30" t="s">
        <v>285</v>
      </c>
      <c r="N23" s="30" t="s">
        <v>288</v>
      </c>
      <c r="O23" s="30" t="s">
        <v>287</v>
      </c>
      <c r="P23" s="30" t="s">
        <v>290</v>
      </c>
      <c r="Q23" s="30" t="s">
        <v>289</v>
      </c>
      <c r="R23" s="30" t="s">
        <v>287</v>
      </c>
      <c r="S23" s="30" t="s">
        <v>287</v>
      </c>
      <c r="T23" s="30" t="s">
        <v>287</v>
      </c>
      <c r="U23" s="30" t="s">
        <v>285</v>
      </c>
      <c r="V23" s="30" t="s">
        <v>285</v>
      </c>
      <c r="W23" s="30" t="s">
        <v>289</v>
      </c>
      <c r="X23" s="30" t="s">
        <v>290</v>
      </c>
      <c r="Y23" s="30" t="s">
        <v>287</v>
      </c>
      <c r="Z23" s="30" t="s">
        <v>291</v>
      </c>
      <c r="AA23" s="30" t="s">
        <v>291</v>
      </c>
      <c r="AB23" s="30" t="s">
        <v>290</v>
      </c>
      <c r="AC23" s="37" t="s">
        <v>285</v>
      </c>
      <c r="AE23" s="34" t="s">
        <v>24</v>
      </c>
      <c r="AF23" s="169">
        <f>VLOOKUP(Front!D20,Stat_Bonus,2,FALSE)</f>
        <v>0</v>
      </c>
      <c r="AH23" s="41" t="s">
        <v>322</v>
      </c>
      <c r="AI23" s="1">
        <v>5</v>
      </c>
      <c r="AJ23" s="1">
        <v>5</v>
      </c>
      <c r="AK23" s="1">
        <v>5</v>
      </c>
      <c r="AL23" s="1">
        <v>5</v>
      </c>
      <c r="AM23" s="1">
        <v>5</v>
      </c>
      <c r="AN23" s="1">
        <v>5</v>
      </c>
      <c r="AO23" s="1">
        <v>5</v>
      </c>
      <c r="AP23" s="1">
        <v>5</v>
      </c>
      <c r="AQ23" s="1">
        <v>5</v>
      </c>
      <c r="AR23" s="18">
        <v>5</v>
      </c>
      <c r="AT23" s="34" t="s">
        <v>351</v>
      </c>
      <c r="AU23" s="45">
        <v>10</v>
      </c>
      <c r="AV23" s="45">
        <v>4</v>
      </c>
      <c r="AW23" s="45">
        <v>0</v>
      </c>
      <c r="AX23" s="45">
        <v>-4</v>
      </c>
      <c r="AY23" s="45">
        <v>0</v>
      </c>
      <c r="AZ23" s="45">
        <v>0</v>
      </c>
      <c r="BA23" s="45">
        <v>-1</v>
      </c>
      <c r="BB23" s="45">
        <v>4</v>
      </c>
      <c r="BC23" s="45">
        <v>0</v>
      </c>
      <c r="BD23" s="45">
        <v>-2</v>
      </c>
      <c r="BE23" s="45">
        <v>2</v>
      </c>
      <c r="BF23" s="45">
        <v>0</v>
      </c>
      <c r="BG23" s="45">
        <v>0</v>
      </c>
      <c r="BH23" s="45">
        <v>0</v>
      </c>
      <c r="BI23" s="45">
        <v>5</v>
      </c>
      <c r="BJ23" s="45">
        <v>10</v>
      </c>
      <c r="BK23" s="45">
        <v>25</v>
      </c>
      <c r="BL23" s="47">
        <v>1</v>
      </c>
      <c r="BM23" s="1" t="s">
        <v>369</v>
      </c>
      <c r="BN23" s="45">
        <v>0</v>
      </c>
      <c r="BO23" s="1">
        <v>72</v>
      </c>
      <c r="BP23" s="1">
        <v>65</v>
      </c>
      <c r="BQ23" s="1">
        <v>180</v>
      </c>
      <c r="BR23" s="1">
        <v>145</v>
      </c>
      <c r="BS23" s="1">
        <v>4</v>
      </c>
      <c r="BT23" s="48" t="s">
        <v>385</v>
      </c>
      <c r="BV23" s="27">
        <v>20</v>
      </c>
      <c r="BW23" s="54">
        <f>ROUND(BW$26-3/6,1)</f>
        <v>-5.5</v>
      </c>
    </row>
    <row r="24" spans="1:75" ht="15" customHeight="1" thickBot="1" x14ac:dyDescent="0.3">
      <c r="A24" s="1">
        <v>20</v>
      </c>
      <c r="B24" s="1">
        <f t="shared" si="2"/>
        <v>80</v>
      </c>
      <c r="D24" s="38" t="s">
        <v>273</v>
      </c>
      <c r="E24" s="44">
        <v>22</v>
      </c>
      <c r="G24" s="34" t="s">
        <v>187</v>
      </c>
      <c r="H24" s="30" t="s">
        <v>289</v>
      </c>
      <c r="I24" s="30" t="s">
        <v>294</v>
      </c>
      <c r="J24" s="30" t="s">
        <v>286</v>
      </c>
      <c r="K24" s="30" t="s">
        <v>290</v>
      </c>
      <c r="L24" s="30" t="s">
        <v>294</v>
      </c>
      <c r="M24" s="30" t="s">
        <v>290</v>
      </c>
      <c r="N24" s="30" t="s">
        <v>288</v>
      </c>
      <c r="O24" s="30" t="s">
        <v>294</v>
      </c>
      <c r="P24" s="30" t="s">
        <v>294</v>
      </c>
      <c r="Q24" s="30" t="s">
        <v>290</v>
      </c>
      <c r="R24" s="30" t="s">
        <v>287</v>
      </c>
      <c r="S24" s="30" t="s">
        <v>294</v>
      </c>
      <c r="T24" s="30" t="s">
        <v>294</v>
      </c>
      <c r="U24" s="30" t="s">
        <v>289</v>
      </c>
      <c r="V24" s="30" t="s">
        <v>289</v>
      </c>
      <c r="W24" s="30" t="s">
        <v>285</v>
      </c>
      <c r="X24" s="30" t="s">
        <v>287</v>
      </c>
      <c r="Y24" s="30" t="s">
        <v>291</v>
      </c>
      <c r="Z24" s="30" t="s">
        <v>285</v>
      </c>
      <c r="AA24" s="30" t="s">
        <v>285</v>
      </c>
      <c r="AB24" s="30" t="s">
        <v>285</v>
      </c>
      <c r="AC24" s="37" t="s">
        <v>285</v>
      </c>
      <c r="AE24" s="34" t="s">
        <v>25</v>
      </c>
      <c r="AF24" s="169">
        <f>VLOOKUP(Front!D21,Stat_Bonus,2,FALSE)</f>
        <v>0</v>
      </c>
      <c r="AH24" s="41" t="s">
        <v>323</v>
      </c>
      <c r="AI24" s="1">
        <v>2</v>
      </c>
      <c r="AJ24" s="1"/>
      <c r="AK24" s="1"/>
      <c r="AL24" s="1">
        <v>2</v>
      </c>
      <c r="AM24" s="1">
        <v>2</v>
      </c>
      <c r="AN24" s="1">
        <v>1</v>
      </c>
      <c r="AO24" s="1"/>
      <c r="AP24" s="1"/>
      <c r="AQ24" s="1"/>
      <c r="AR24" s="18">
        <v>3</v>
      </c>
      <c r="AT24" s="34" t="s">
        <v>352</v>
      </c>
      <c r="AU24" s="45">
        <v>75</v>
      </c>
      <c r="AV24" s="45">
        <v>5</v>
      </c>
      <c r="AW24" s="45">
        <v>1</v>
      </c>
      <c r="AX24" s="45">
        <v>-3</v>
      </c>
      <c r="AY24" s="45">
        <v>-1</v>
      </c>
      <c r="AZ24" s="45">
        <v>0</v>
      </c>
      <c r="BA24" s="45">
        <v>-3</v>
      </c>
      <c r="BB24" s="45">
        <v>4</v>
      </c>
      <c r="BC24" s="45">
        <v>0</v>
      </c>
      <c r="BD24" s="45">
        <v>-3</v>
      </c>
      <c r="BE24" s="45">
        <v>-1</v>
      </c>
      <c r="BF24" s="45">
        <v>0</v>
      </c>
      <c r="BG24" s="45">
        <v>0</v>
      </c>
      <c r="BH24" s="45">
        <v>0</v>
      </c>
      <c r="BI24" s="45">
        <v>0</v>
      </c>
      <c r="BJ24" s="45">
        <v>10</v>
      </c>
      <c r="BK24" s="45">
        <v>20</v>
      </c>
      <c r="BL24" s="47">
        <v>0.5</v>
      </c>
      <c r="BM24" s="1" t="s">
        <v>375</v>
      </c>
      <c r="BN24" s="45">
        <v>-5</v>
      </c>
      <c r="BO24" s="1">
        <v>42</v>
      </c>
      <c r="BP24" s="1">
        <v>39</v>
      </c>
      <c r="BQ24" s="1">
        <v>44</v>
      </c>
      <c r="BR24" s="1">
        <v>40</v>
      </c>
      <c r="BS24" s="1">
        <v>1</v>
      </c>
      <c r="BT24" s="48" t="s">
        <v>386</v>
      </c>
      <c r="BV24" s="27">
        <v>21</v>
      </c>
      <c r="BW24" s="54">
        <f>ROUND(BW$26-2/6,1)</f>
        <v>-5.3</v>
      </c>
    </row>
    <row r="25" spans="1:75" ht="15" customHeight="1" thickBot="1" x14ac:dyDescent="0.3">
      <c r="A25" s="1">
        <v>21</v>
      </c>
      <c r="B25" s="1">
        <f>2*(A25-20)+80</f>
        <v>82</v>
      </c>
      <c r="G25" s="34" t="s">
        <v>192</v>
      </c>
      <c r="H25" s="30" t="s">
        <v>285</v>
      </c>
      <c r="I25" s="30" t="s">
        <v>285</v>
      </c>
      <c r="J25" s="30" t="s">
        <v>291</v>
      </c>
      <c r="K25" s="30" t="s">
        <v>288</v>
      </c>
      <c r="L25" s="30" t="s">
        <v>288</v>
      </c>
      <c r="M25" s="30" t="s">
        <v>288</v>
      </c>
      <c r="N25" s="30" t="s">
        <v>287</v>
      </c>
      <c r="O25" s="30" t="s">
        <v>288</v>
      </c>
      <c r="P25" s="30" t="s">
        <v>286</v>
      </c>
      <c r="Q25" s="30" t="s">
        <v>288</v>
      </c>
      <c r="R25" s="30" t="s">
        <v>286</v>
      </c>
      <c r="S25" s="30" t="s">
        <v>287</v>
      </c>
      <c r="T25" s="30" t="s">
        <v>289</v>
      </c>
      <c r="U25" s="30" t="s">
        <v>287</v>
      </c>
      <c r="V25" s="30" t="s">
        <v>287</v>
      </c>
      <c r="W25" s="30" t="s">
        <v>290</v>
      </c>
      <c r="X25" s="30" t="s">
        <v>290</v>
      </c>
      <c r="Y25" s="30" t="s">
        <v>290</v>
      </c>
      <c r="Z25" s="30" t="s">
        <v>287</v>
      </c>
      <c r="AA25" s="30" t="s">
        <v>290</v>
      </c>
      <c r="AB25" s="30" t="s">
        <v>287</v>
      </c>
      <c r="AC25" s="37" t="s">
        <v>290</v>
      </c>
      <c r="AE25" s="38" t="s">
        <v>26</v>
      </c>
      <c r="AF25" s="170">
        <f>VLOOKUP(Front!D22,Stat_Bonus,2,FALSE)</f>
        <v>0</v>
      </c>
      <c r="AH25" s="41" t="s">
        <v>173</v>
      </c>
      <c r="AI25" s="1">
        <v>2</v>
      </c>
      <c r="AJ25" s="1"/>
      <c r="AK25" s="1"/>
      <c r="AL25" s="1"/>
      <c r="AM25" s="1"/>
      <c r="AN25" s="1"/>
      <c r="AO25" s="1"/>
      <c r="AP25" s="1"/>
      <c r="AQ25" s="1"/>
      <c r="AR25" s="18">
        <v>1</v>
      </c>
      <c r="AT25" s="34" t="s">
        <v>353</v>
      </c>
      <c r="AU25" s="45">
        <v>26</v>
      </c>
      <c r="AV25" s="45">
        <v>0</v>
      </c>
      <c r="AW25" s="45">
        <v>0</v>
      </c>
      <c r="AX25" s="45">
        <v>2</v>
      </c>
      <c r="AY25" s="45">
        <v>2</v>
      </c>
      <c r="AZ25" s="45">
        <v>2</v>
      </c>
      <c r="BA25" s="45">
        <v>2</v>
      </c>
      <c r="BB25" s="45">
        <v>2</v>
      </c>
      <c r="BC25" s="45">
        <v>0</v>
      </c>
      <c r="BD25" s="45">
        <v>-4</v>
      </c>
      <c r="BE25" s="45">
        <v>-2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20</v>
      </c>
      <c r="BL25" s="47">
        <v>1</v>
      </c>
      <c r="BM25" s="1" t="s">
        <v>369</v>
      </c>
      <c r="BN25" s="45">
        <v>-3</v>
      </c>
      <c r="BO25" s="1">
        <v>52</v>
      </c>
      <c r="BP25" s="1">
        <v>52</v>
      </c>
      <c r="BQ25" s="1">
        <v>85</v>
      </c>
      <c r="BR25" s="1">
        <v>85</v>
      </c>
      <c r="BS25" s="1">
        <v>2</v>
      </c>
      <c r="BT25" s="48" t="s">
        <v>387</v>
      </c>
      <c r="BV25" s="27">
        <v>22</v>
      </c>
      <c r="BW25" s="54">
        <f>ROUND(BW$26-1/6,1)</f>
        <v>-5.2</v>
      </c>
    </row>
    <row r="26" spans="1:75" ht="15" customHeight="1" thickBot="1" x14ac:dyDescent="0.3">
      <c r="A26" s="1">
        <v>22</v>
      </c>
      <c r="B26" s="1">
        <f t="shared" ref="B26:B34" si="3">2*(A26-20)+80</f>
        <v>84</v>
      </c>
      <c r="G26" s="34" t="s">
        <v>198</v>
      </c>
      <c r="H26" s="30" t="s">
        <v>285</v>
      </c>
      <c r="I26" s="30" t="s">
        <v>289</v>
      </c>
      <c r="J26" s="30" t="s">
        <v>289</v>
      </c>
      <c r="K26" s="30" t="s">
        <v>286</v>
      </c>
      <c r="L26" s="30" t="s">
        <v>285</v>
      </c>
      <c r="M26" s="30" t="s">
        <v>286</v>
      </c>
      <c r="N26" s="30" t="s">
        <v>288</v>
      </c>
      <c r="O26" s="30" t="s">
        <v>289</v>
      </c>
      <c r="P26" s="30" t="s">
        <v>289</v>
      </c>
      <c r="Q26" s="30" t="s">
        <v>289</v>
      </c>
      <c r="R26" s="30" t="s">
        <v>289</v>
      </c>
      <c r="S26" s="30" t="s">
        <v>288</v>
      </c>
      <c r="T26" s="30" t="s">
        <v>285</v>
      </c>
      <c r="U26" s="30" t="s">
        <v>286</v>
      </c>
      <c r="V26" s="30" t="s">
        <v>289</v>
      </c>
      <c r="W26" s="30" t="s">
        <v>285</v>
      </c>
      <c r="X26" s="30" t="s">
        <v>288</v>
      </c>
      <c r="Y26" s="30" t="s">
        <v>289</v>
      </c>
      <c r="Z26" s="30" t="s">
        <v>289</v>
      </c>
      <c r="AA26" s="30" t="s">
        <v>289</v>
      </c>
      <c r="AB26" s="30" t="s">
        <v>285</v>
      </c>
      <c r="AC26" s="37" t="s">
        <v>289</v>
      </c>
      <c r="AH26" s="41" t="s">
        <v>324</v>
      </c>
      <c r="AI26" s="1">
        <v>7</v>
      </c>
      <c r="AJ26" s="1">
        <v>2</v>
      </c>
      <c r="AK26" s="1">
        <v>4</v>
      </c>
      <c r="AL26" s="1">
        <v>5</v>
      </c>
      <c r="AM26" s="1">
        <v>4</v>
      </c>
      <c r="AN26" s="1">
        <v>3</v>
      </c>
      <c r="AO26" s="1">
        <v>5</v>
      </c>
      <c r="AP26" s="1">
        <v>4</v>
      </c>
      <c r="AQ26" s="1">
        <v>4</v>
      </c>
      <c r="AR26" s="18">
        <v>7</v>
      </c>
      <c r="AT26" s="34" t="s">
        <v>354</v>
      </c>
      <c r="AU26" s="45">
        <v>30</v>
      </c>
      <c r="AV26" s="45">
        <v>0</v>
      </c>
      <c r="AW26" s="45">
        <v>5</v>
      </c>
      <c r="AX26" s="45">
        <v>-4</v>
      </c>
      <c r="AY26" s="45">
        <v>0</v>
      </c>
      <c r="AZ26" s="45">
        <v>-2</v>
      </c>
      <c r="BA26" s="45">
        <v>-2</v>
      </c>
      <c r="BB26" s="45">
        <v>0</v>
      </c>
      <c r="BC26" s="45">
        <v>-2</v>
      </c>
      <c r="BD26" s="45">
        <v>-4</v>
      </c>
      <c r="BE26" s="45">
        <v>3</v>
      </c>
      <c r="BF26" s="45">
        <v>0</v>
      </c>
      <c r="BG26" s="45">
        <v>0</v>
      </c>
      <c r="BH26" s="45">
        <v>0</v>
      </c>
      <c r="BI26" s="45">
        <v>10</v>
      </c>
      <c r="BJ26" s="45">
        <v>10</v>
      </c>
      <c r="BK26" s="45">
        <v>30</v>
      </c>
      <c r="BL26" s="47">
        <v>0.5</v>
      </c>
      <c r="BM26" s="1" t="s">
        <v>369</v>
      </c>
      <c r="BN26" s="45">
        <v>0</v>
      </c>
      <c r="BO26" s="1">
        <v>72</v>
      </c>
      <c r="BP26" s="1">
        <v>67</v>
      </c>
      <c r="BQ26" s="1">
        <v>220</v>
      </c>
      <c r="BR26" s="1">
        <v>166</v>
      </c>
      <c r="BS26" s="1">
        <v>6</v>
      </c>
      <c r="BT26" s="48" t="s">
        <v>388</v>
      </c>
      <c r="BV26" s="27">
        <v>23</v>
      </c>
      <c r="BW26" s="54">
        <v>-5</v>
      </c>
    </row>
    <row r="27" spans="1:75" ht="15" customHeight="1" x14ac:dyDescent="0.25">
      <c r="A27" s="1">
        <v>23</v>
      </c>
      <c r="B27" s="1">
        <f t="shared" si="3"/>
        <v>86</v>
      </c>
      <c r="D27" s="31" t="s">
        <v>317</v>
      </c>
      <c r="E27" s="33"/>
      <c r="G27" s="34" t="s">
        <v>204</v>
      </c>
      <c r="H27" s="30" t="s">
        <v>290</v>
      </c>
      <c r="I27" s="30" t="s">
        <v>297</v>
      </c>
      <c r="J27" s="30" t="s">
        <v>297</v>
      </c>
      <c r="K27" s="30" t="s">
        <v>297</v>
      </c>
      <c r="L27" s="30" t="s">
        <v>297</v>
      </c>
      <c r="M27" s="30" t="s">
        <v>297</v>
      </c>
      <c r="N27" s="30" t="s">
        <v>290</v>
      </c>
      <c r="O27" s="30" t="s">
        <v>290</v>
      </c>
      <c r="P27" s="30" t="s">
        <v>290</v>
      </c>
      <c r="Q27" s="30" t="s">
        <v>290</v>
      </c>
      <c r="R27" s="30" t="s">
        <v>287</v>
      </c>
      <c r="S27" s="30" t="s">
        <v>287</v>
      </c>
      <c r="T27" s="30" t="s">
        <v>287</v>
      </c>
      <c r="U27" s="30" t="s">
        <v>285</v>
      </c>
      <c r="V27" s="30" t="s">
        <v>285</v>
      </c>
      <c r="W27" s="30" t="s">
        <v>286</v>
      </c>
      <c r="X27" s="30" t="s">
        <v>286</v>
      </c>
      <c r="Y27" s="30" t="s">
        <v>286</v>
      </c>
      <c r="Z27" s="30" t="s">
        <v>286</v>
      </c>
      <c r="AA27" s="30" t="s">
        <v>286</v>
      </c>
      <c r="AB27" s="30" t="s">
        <v>285</v>
      </c>
      <c r="AC27" s="37" t="s">
        <v>285</v>
      </c>
      <c r="AH27" s="41" t="s">
        <v>184</v>
      </c>
      <c r="AI27" s="1"/>
      <c r="AJ27" s="1"/>
      <c r="AK27" s="1"/>
      <c r="AL27" s="1"/>
      <c r="AM27" s="1">
        <v>1</v>
      </c>
      <c r="AN27" s="1"/>
      <c r="AO27" s="1">
        <v>1</v>
      </c>
      <c r="AP27" s="1">
        <v>1</v>
      </c>
      <c r="AQ27" s="1"/>
      <c r="AR27" s="18"/>
      <c r="AT27" s="34" t="s">
        <v>355</v>
      </c>
      <c r="AU27" s="45">
        <v>60</v>
      </c>
      <c r="AV27" s="45">
        <v>0</v>
      </c>
      <c r="AW27" s="45">
        <v>-2</v>
      </c>
      <c r="AX27" s="45">
        <v>0</v>
      </c>
      <c r="AY27" s="45">
        <v>0</v>
      </c>
      <c r="AZ27" s="45">
        <v>1</v>
      </c>
      <c r="BA27" s="45">
        <v>0</v>
      </c>
      <c r="BB27" s="45">
        <v>0</v>
      </c>
      <c r="BC27" s="45">
        <v>1</v>
      </c>
      <c r="BD27" s="45">
        <v>-2</v>
      </c>
      <c r="BE27" s="45">
        <v>0</v>
      </c>
      <c r="BF27" s="45">
        <v>-5</v>
      </c>
      <c r="BG27" s="45">
        <v>-5</v>
      </c>
      <c r="BH27" s="45">
        <v>-10</v>
      </c>
      <c r="BI27" s="45">
        <v>5</v>
      </c>
      <c r="BJ27" s="45">
        <v>0</v>
      </c>
      <c r="BK27" s="45">
        <v>20</v>
      </c>
      <c r="BL27" s="47">
        <v>0.5</v>
      </c>
      <c r="BM27" s="1" t="s">
        <v>369</v>
      </c>
      <c r="BN27" s="45">
        <v>0</v>
      </c>
      <c r="BO27" s="1">
        <v>66</v>
      </c>
      <c r="BP27" s="1">
        <v>62</v>
      </c>
      <c r="BQ27" s="1">
        <v>160</v>
      </c>
      <c r="BR27" s="1">
        <v>140</v>
      </c>
      <c r="BS27" s="1">
        <v>5</v>
      </c>
      <c r="BT27" s="48" t="s">
        <v>392</v>
      </c>
      <c r="BV27" s="27">
        <v>24</v>
      </c>
      <c r="BW27" s="54">
        <f>ROUND(BW32-5/6,1)</f>
        <v>-4.8</v>
      </c>
    </row>
    <row r="28" spans="1:75" ht="15" customHeight="1" x14ac:dyDescent="0.25">
      <c r="A28" s="1">
        <v>24</v>
      </c>
      <c r="B28" s="1">
        <f t="shared" si="3"/>
        <v>88</v>
      </c>
      <c r="D28" s="34" t="s">
        <v>463</v>
      </c>
      <c r="E28" s="35">
        <v>1</v>
      </c>
      <c r="G28" s="34" t="s">
        <v>212</v>
      </c>
      <c r="H28" s="30" t="s">
        <v>290</v>
      </c>
      <c r="I28" s="30" t="s">
        <v>294</v>
      </c>
      <c r="J28" s="30" t="s">
        <v>294</v>
      </c>
      <c r="K28" s="30" t="s">
        <v>290</v>
      </c>
      <c r="L28" s="30" t="s">
        <v>294</v>
      </c>
      <c r="M28" s="30" t="s">
        <v>290</v>
      </c>
      <c r="N28" s="30" t="s">
        <v>288</v>
      </c>
      <c r="O28" s="30" t="s">
        <v>294</v>
      </c>
      <c r="P28" s="30" t="s">
        <v>294</v>
      </c>
      <c r="Q28" s="30" t="s">
        <v>294</v>
      </c>
      <c r="R28" s="30" t="s">
        <v>294</v>
      </c>
      <c r="S28" s="30" t="s">
        <v>287</v>
      </c>
      <c r="T28" s="30" t="s">
        <v>294</v>
      </c>
      <c r="U28" s="30" t="s">
        <v>289</v>
      </c>
      <c r="V28" s="30" t="s">
        <v>287</v>
      </c>
      <c r="W28" s="30" t="s">
        <v>285</v>
      </c>
      <c r="X28" s="30" t="s">
        <v>289</v>
      </c>
      <c r="Y28" s="30" t="s">
        <v>289</v>
      </c>
      <c r="Z28" s="30" t="s">
        <v>289</v>
      </c>
      <c r="AA28" s="30" t="s">
        <v>290</v>
      </c>
      <c r="AB28" s="30" t="s">
        <v>290</v>
      </c>
      <c r="AC28" s="37" t="s">
        <v>289</v>
      </c>
      <c r="AH28" s="41" t="s">
        <v>185</v>
      </c>
      <c r="AI28" s="1"/>
      <c r="AJ28" s="1">
        <v>2</v>
      </c>
      <c r="AK28" s="1">
        <v>1</v>
      </c>
      <c r="AL28" s="1">
        <v>1</v>
      </c>
      <c r="AM28" s="1">
        <v>1</v>
      </c>
      <c r="AN28" s="1">
        <v>1</v>
      </c>
      <c r="AO28" s="1">
        <v>1</v>
      </c>
      <c r="AP28" s="1">
        <v>1</v>
      </c>
      <c r="AQ28" s="1">
        <v>2</v>
      </c>
      <c r="AR28" s="18"/>
      <c r="AT28" s="34" t="s">
        <v>356</v>
      </c>
      <c r="AU28" s="45">
        <v>75</v>
      </c>
      <c r="AV28" s="45">
        <v>0</v>
      </c>
      <c r="AW28" s="45">
        <v>2</v>
      </c>
      <c r="AX28" s="45">
        <v>-3</v>
      </c>
      <c r="AY28" s="45">
        <v>0</v>
      </c>
      <c r="AZ28" s="45">
        <v>-2</v>
      </c>
      <c r="BA28" s="45">
        <v>-3</v>
      </c>
      <c r="BB28" s="45">
        <v>0</v>
      </c>
      <c r="BC28" s="45">
        <v>-2</v>
      </c>
      <c r="BD28" s="45">
        <v>-4</v>
      </c>
      <c r="BE28" s="45">
        <v>1</v>
      </c>
      <c r="BF28" s="45">
        <v>0</v>
      </c>
      <c r="BG28" s="45">
        <v>0</v>
      </c>
      <c r="BH28" s="45">
        <v>0</v>
      </c>
      <c r="BI28" s="45">
        <v>5</v>
      </c>
      <c r="BJ28" s="45">
        <v>5</v>
      </c>
      <c r="BK28" s="45">
        <v>25</v>
      </c>
      <c r="BL28" s="47">
        <v>0.5</v>
      </c>
      <c r="BM28" s="1" t="s">
        <v>369</v>
      </c>
      <c r="BN28" s="45">
        <v>-2</v>
      </c>
      <c r="BO28" s="1">
        <v>60</v>
      </c>
      <c r="BP28" s="1">
        <v>56</v>
      </c>
      <c r="BQ28" s="1">
        <v>150</v>
      </c>
      <c r="BR28" s="1">
        <v>125</v>
      </c>
      <c r="BS28" s="1">
        <v>4</v>
      </c>
      <c r="BT28" s="48" t="s">
        <v>389</v>
      </c>
      <c r="BV28" s="27">
        <v>25</v>
      </c>
      <c r="BW28" s="54">
        <f>ROUND(BW32-4/6,1)</f>
        <v>-4.7</v>
      </c>
    </row>
    <row r="29" spans="1:75" ht="15" customHeight="1" x14ac:dyDescent="0.25">
      <c r="A29" s="1">
        <v>25</v>
      </c>
      <c r="B29" s="1">
        <f t="shared" si="3"/>
        <v>90</v>
      </c>
      <c r="D29" s="34" t="s">
        <v>464</v>
      </c>
      <c r="E29" s="35">
        <v>2</v>
      </c>
      <c r="G29" s="34" t="s">
        <v>218</v>
      </c>
      <c r="H29" s="30" t="s">
        <v>285</v>
      </c>
      <c r="I29" s="30" t="s">
        <v>285</v>
      </c>
      <c r="J29" s="30" t="s">
        <v>289</v>
      </c>
      <c r="K29" s="30" t="s">
        <v>288</v>
      </c>
      <c r="L29" s="30" t="s">
        <v>286</v>
      </c>
      <c r="M29" s="30" t="s">
        <v>286</v>
      </c>
      <c r="N29" s="30" t="s">
        <v>286</v>
      </c>
      <c r="O29" s="30" t="s">
        <v>289</v>
      </c>
      <c r="P29" s="30" t="s">
        <v>286</v>
      </c>
      <c r="Q29" s="30" t="s">
        <v>289</v>
      </c>
      <c r="R29" s="30" t="s">
        <v>286</v>
      </c>
      <c r="S29" s="30" t="s">
        <v>286</v>
      </c>
      <c r="T29" s="30" t="s">
        <v>286</v>
      </c>
      <c r="U29" s="30" t="s">
        <v>288</v>
      </c>
      <c r="V29" s="30" t="s">
        <v>289</v>
      </c>
      <c r="W29" s="30" t="s">
        <v>289</v>
      </c>
      <c r="X29" s="30" t="s">
        <v>289</v>
      </c>
      <c r="Y29" s="30" t="s">
        <v>288</v>
      </c>
      <c r="Z29" s="30" t="s">
        <v>286</v>
      </c>
      <c r="AA29" s="30" t="s">
        <v>285</v>
      </c>
      <c r="AB29" s="30" t="s">
        <v>286</v>
      </c>
      <c r="AC29" s="37" t="s">
        <v>286</v>
      </c>
      <c r="AH29" s="41" t="s">
        <v>193</v>
      </c>
      <c r="AI29" s="1"/>
      <c r="AJ29" s="1"/>
      <c r="AK29" s="1">
        <v>1</v>
      </c>
      <c r="AL29" s="1">
        <v>1</v>
      </c>
      <c r="AM29" s="1"/>
      <c r="AN29" s="1">
        <v>1</v>
      </c>
      <c r="AO29" s="1">
        <v>1</v>
      </c>
      <c r="AP29" s="1">
        <v>2</v>
      </c>
      <c r="AQ29" s="1">
        <v>1</v>
      </c>
      <c r="AR29" s="18"/>
      <c r="AT29" s="34" t="s">
        <v>357</v>
      </c>
      <c r="AU29" s="45">
        <v>0</v>
      </c>
      <c r="AV29" s="45">
        <v>0</v>
      </c>
      <c r="AW29" s="45">
        <v>4</v>
      </c>
      <c r="AX29" s="45">
        <v>-2</v>
      </c>
      <c r="AY29" s="45">
        <v>0</v>
      </c>
      <c r="AZ29" s="45">
        <v>-2</v>
      </c>
      <c r="BA29" s="45">
        <v>-2</v>
      </c>
      <c r="BB29" s="45">
        <v>0</v>
      </c>
      <c r="BC29" s="45">
        <v>-2</v>
      </c>
      <c r="BD29" s="45">
        <v>-4</v>
      </c>
      <c r="BE29" s="45">
        <v>2</v>
      </c>
      <c r="BF29" s="45">
        <v>5</v>
      </c>
      <c r="BG29" s="45">
        <v>5</v>
      </c>
      <c r="BH29" s="45">
        <v>5</v>
      </c>
      <c r="BI29" s="45">
        <v>10</v>
      </c>
      <c r="BJ29" s="45">
        <v>10</v>
      </c>
      <c r="BK29" s="45">
        <v>35</v>
      </c>
      <c r="BL29" s="47">
        <v>0.5</v>
      </c>
      <c r="BM29" s="1" t="s">
        <v>377</v>
      </c>
      <c r="BN29" s="45">
        <v>5</v>
      </c>
      <c r="BO29" s="1">
        <v>99</v>
      </c>
      <c r="BP29" s="1">
        <v>90</v>
      </c>
      <c r="BQ29" s="1">
        <v>575</v>
      </c>
      <c r="BR29" s="1">
        <v>480</v>
      </c>
      <c r="BS29" s="1">
        <v>6</v>
      </c>
      <c r="BT29" s="48" t="s">
        <v>391</v>
      </c>
      <c r="BV29" s="27">
        <v>26</v>
      </c>
      <c r="BW29" s="54">
        <f>ROUND(BW32-3/6,1)</f>
        <v>-4.5</v>
      </c>
    </row>
    <row r="30" spans="1:75" ht="15" customHeight="1" x14ac:dyDescent="0.25">
      <c r="A30" s="1">
        <v>26</v>
      </c>
      <c r="B30" s="1">
        <f t="shared" si="3"/>
        <v>92</v>
      </c>
      <c r="D30" s="34" t="s">
        <v>465</v>
      </c>
      <c r="E30" s="35">
        <v>3</v>
      </c>
      <c r="G30" s="34" t="s">
        <v>279</v>
      </c>
      <c r="H30" s="30" t="s">
        <v>290</v>
      </c>
      <c r="I30" s="30" t="s">
        <v>292</v>
      </c>
      <c r="J30" s="30" t="s">
        <v>292</v>
      </c>
      <c r="K30" s="30" t="s">
        <v>292</v>
      </c>
      <c r="L30" s="30" t="s">
        <v>292</v>
      </c>
      <c r="M30" s="30" t="s">
        <v>292</v>
      </c>
      <c r="N30" s="30" t="s">
        <v>290</v>
      </c>
      <c r="O30" s="30" t="s">
        <v>289</v>
      </c>
      <c r="P30" s="30" t="s">
        <v>287</v>
      </c>
      <c r="Q30" s="30" t="s">
        <v>287</v>
      </c>
      <c r="R30" s="30" t="s">
        <v>289</v>
      </c>
      <c r="S30" s="30" t="s">
        <v>285</v>
      </c>
      <c r="T30" s="30" t="s">
        <v>289</v>
      </c>
      <c r="U30" s="30" t="s">
        <v>295</v>
      </c>
      <c r="V30" s="30" t="s">
        <v>291</v>
      </c>
      <c r="W30" s="30" t="s">
        <v>291</v>
      </c>
      <c r="X30" s="30" t="s">
        <v>291</v>
      </c>
      <c r="Y30" s="30" t="s">
        <v>291</v>
      </c>
      <c r="Z30" s="30" t="s">
        <v>291</v>
      </c>
      <c r="AA30" s="30" t="s">
        <v>288</v>
      </c>
      <c r="AB30" s="30" t="s">
        <v>288</v>
      </c>
      <c r="AC30" s="37" t="s">
        <v>288</v>
      </c>
      <c r="AH30" s="41" t="s">
        <v>195</v>
      </c>
      <c r="AI30" s="1">
        <v>1</v>
      </c>
      <c r="AJ30" s="1">
        <v>2</v>
      </c>
      <c r="AK30" s="1">
        <v>2</v>
      </c>
      <c r="AL30" s="1">
        <v>1</v>
      </c>
      <c r="AM30" s="1">
        <v>2</v>
      </c>
      <c r="AN30" s="1">
        <v>2</v>
      </c>
      <c r="AO30" s="1">
        <v>1</v>
      </c>
      <c r="AP30" s="1">
        <v>2</v>
      </c>
      <c r="AQ30" s="1">
        <v>1</v>
      </c>
      <c r="AR30" s="18">
        <v>1</v>
      </c>
      <c r="AT30" s="34" t="s">
        <v>358</v>
      </c>
      <c r="AU30" s="45">
        <v>18</v>
      </c>
      <c r="AV30" s="45">
        <v>0</v>
      </c>
      <c r="AW30" s="45">
        <v>4</v>
      </c>
      <c r="AX30" s="45">
        <v>-2</v>
      </c>
      <c r="AY30" s="45">
        <v>0</v>
      </c>
      <c r="AZ30" s="45">
        <v>-2</v>
      </c>
      <c r="BA30" s="45">
        <v>-2</v>
      </c>
      <c r="BB30" s="45">
        <v>0</v>
      </c>
      <c r="BC30" s="45">
        <v>-2</v>
      </c>
      <c r="BD30" s="45">
        <v>-4</v>
      </c>
      <c r="BE30" s="45">
        <v>2</v>
      </c>
      <c r="BF30" s="45">
        <v>0</v>
      </c>
      <c r="BG30" s="45">
        <v>0</v>
      </c>
      <c r="BH30" s="45">
        <v>0</v>
      </c>
      <c r="BI30" s="45">
        <v>5</v>
      </c>
      <c r="BJ30" s="45">
        <v>0</v>
      </c>
      <c r="BK30" s="45">
        <v>30</v>
      </c>
      <c r="BL30" s="47">
        <v>0.5</v>
      </c>
      <c r="BM30" s="1" t="s">
        <v>369</v>
      </c>
      <c r="BN30" s="45">
        <v>0</v>
      </c>
      <c r="BO30" s="1">
        <v>72</v>
      </c>
      <c r="BP30" s="1">
        <v>67</v>
      </c>
      <c r="BQ30" s="1">
        <v>250</v>
      </c>
      <c r="BR30" s="1">
        <v>190</v>
      </c>
      <c r="BS30" s="1">
        <v>6</v>
      </c>
      <c r="BT30" s="48" t="s">
        <v>390</v>
      </c>
      <c r="BV30" s="27">
        <v>27</v>
      </c>
      <c r="BW30" s="54">
        <f>ROUND(BW32-2/6,1)</f>
        <v>-4.3</v>
      </c>
    </row>
    <row r="31" spans="1:75" ht="15" customHeight="1" x14ac:dyDescent="0.25">
      <c r="A31" s="1">
        <v>27</v>
      </c>
      <c r="B31" s="1">
        <f t="shared" si="3"/>
        <v>94</v>
      </c>
      <c r="D31" s="34" t="s">
        <v>466</v>
      </c>
      <c r="E31" s="35">
        <v>4</v>
      </c>
      <c r="G31" s="34" t="s">
        <v>280</v>
      </c>
      <c r="H31" s="30" t="s">
        <v>290</v>
      </c>
      <c r="I31" s="30" t="s">
        <v>292</v>
      </c>
      <c r="J31" s="30" t="s">
        <v>292</v>
      </c>
      <c r="K31" s="30" t="s">
        <v>292</v>
      </c>
      <c r="L31" s="30" t="s">
        <v>292</v>
      </c>
      <c r="M31" s="30" t="s">
        <v>292</v>
      </c>
      <c r="N31" s="30" t="s">
        <v>290</v>
      </c>
      <c r="O31" s="30" t="s">
        <v>289</v>
      </c>
      <c r="P31" s="30" t="s">
        <v>287</v>
      </c>
      <c r="Q31" s="30" t="s">
        <v>287</v>
      </c>
      <c r="R31" s="30" t="s">
        <v>289</v>
      </c>
      <c r="S31" s="30" t="s">
        <v>285</v>
      </c>
      <c r="T31" s="30" t="s">
        <v>289</v>
      </c>
      <c r="U31" s="30" t="s">
        <v>295</v>
      </c>
      <c r="V31" s="30" t="s">
        <v>291</v>
      </c>
      <c r="W31" s="30" t="s">
        <v>291</v>
      </c>
      <c r="X31" s="30" t="s">
        <v>291</v>
      </c>
      <c r="Y31" s="30" t="s">
        <v>291</v>
      </c>
      <c r="Z31" s="30" t="s">
        <v>291</v>
      </c>
      <c r="AA31" s="30" t="s">
        <v>288</v>
      </c>
      <c r="AB31" s="30" t="s">
        <v>288</v>
      </c>
      <c r="AC31" s="37" t="s">
        <v>288</v>
      </c>
      <c r="AH31" s="41" t="s">
        <v>196</v>
      </c>
      <c r="AI31" s="1"/>
      <c r="AJ31" s="1"/>
      <c r="AK31" s="1">
        <v>1</v>
      </c>
      <c r="AL31" s="1">
        <v>2</v>
      </c>
      <c r="AM31" s="1"/>
      <c r="AN31" s="1"/>
      <c r="AO31" s="1">
        <v>1</v>
      </c>
      <c r="AP31" s="1"/>
      <c r="AQ31" s="1"/>
      <c r="AR31" s="18"/>
      <c r="AT31" s="34" t="s">
        <v>359</v>
      </c>
      <c r="AU31" s="45">
        <v>8</v>
      </c>
      <c r="AV31" s="45">
        <v>2</v>
      </c>
      <c r="AW31" s="45">
        <v>3</v>
      </c>
      <c r="AX31" s="45">
        <v>-2</v>
      </c>
      <c r="AY31" s="45">
        <v>1</v>
      </c>
      <c r="AZ31" s="45">
        <v>0</v>
      </c>
      <c r="BA31" s="45">
        <v>-1</v>
      </c>
      <c r="BB31" s="45">
        <v>2</v>
      </c>
      <c r="BC31" s="45">
        <v>0</v>
      </c>
      <c r="BD31" s="45">
        <v>-2</v>
      </c>
      <c r="BE31" s="45">
        <v>0</v>
      </c>
      <c r="BF31" s="45">
        <v>-5</v>
      </c>
      <c r="BG31" s="45">
        <v>0</v>
      </c>
      <c r="BH31" s="45">
        <v>5</v>
      </c>
      <c r="BI31" s="45">
        <v>10</v>
      </c>
      <c r="BJ31" s="45">
        <v>25</v>
      </c>
      <c r="BK31" s="45">
        <v>25</v>
      </c>
      <c r="BL31" s="47">
        <v>1</v>
      </c>
      <c r="BM31" s="1" t="s">
        <v>369</v>
      </c>
      <c r="BN31" s="45">
        <v>0</v>
      </c>
      <c r="BO31" s="1">
        <v>71</v>
      </c>
      <c r="BP31" s="1">
        <v>67</v>
      </c>
      <c r="BQ31" s="1">
        <v>200</v>
      </c>
      <c r="BR31" s="1">
        <v>160</v>
      </c>
      <c r="BS31" s="1">
        <v>5</v>
      </c>
      <c r="BT31" s="48" t="s">
        <v>393</v>
      </c>
      <c r="BV31" s="27">
        <v>28</v>
      </c>
      <c r="BW31" s="54">
        <f>ROUND(BW32-1/6,1)</f>
        <v>-4.2</v>
      </c>
    </row>
    <row r="32" spans="1:75" ht="15" customHeight="1" x14ac:dyDescent="0.25">
      <c r="A32" s="1">
        <v>28</v>
      </c>
      <c r="B32" s="1">
        <f t="shared" si="3"/>
        <v>96</v>
      </c>
      <c r="D32" s="34" t="s">
        <v>467</v>
      </c>
      <c r="E32" s="35">
        <v>5</v>
      </c>
      <c r="G32" s="34" t="s">
        <v>281</v>
      </c>
      <c r="H32" s="30" t="s">
        <v>294</v>
      </c>
      <c r="I32" s="30" t="s">
        <v>297</v>
      </c>
      <c r="J32" s="30" t="s">
        <v>297</v>
      </c>
      <c r="K32" s="30" t="s">
        <v>297</v>
      </c>
      <c r="L32" s="30" t="s">
        <v>297</v>
      </c>
      <c r="M32" s="30" t="s">
        <v>297</v>
      </c>
      <c r="N32" s="30" t="s">
        <v>294</v>
      </c>
      <c r="O32" s="30" t="s">
        <v>287</v>
      </c>
      <c r="P32" s="30" t="s">
        <v>290</v>
      </c>
      <c r="Q32" s="30" t="s">
        <v>290</v>
      </c>
      <c r="R32" s="30" t="s">
        <v>287</v>
      </c>
      <c r="S32" s="30" t="s">
        <v>289</v>
      </c>
      <c r="T32" s="30" t="s">
        <v>287</v>
      </c>
      <c r="U32" s="30" t="s">
        <v>288</v>
      </c>
      <c r="V32" s="30" t="s">
        <v>288</v>
      </c>
      <c r="W32" s="30" t="s">
        <v>288</v>
      </c>
      <c r="X32" s="30" t="s">
        <v>288</v>
      </c>
      <c r="Y32" s="30" t="s">
        <v>288</v>
      </c>
      <c r="Z32" s="30" t="s">
        <v>288</v>
      </c>
      <c r="AA32" s="30" t="s">
        <v>286</v>
      </c>
      <c r="AB32" s="30" t="s">
        <v>286</v>
      </c>
      <c r="AC32" s="37" t="s">
        <v>286</v>
      </c>
      <c r="AH32" s="41" t="s">
        <v>219</v>
      </c>
      <c r="AI32" s="1">
        <v>2</v>
      </c>
      <c r="AJ32" s="1"/>
      <c r="AK32" s="1"/>
      <c r="AL32" s="1">
        <v>1</v>
      </c>
      <c r="AM32" s="1"/>
      <c r="AN32" s="1"/>
      <c r="AO32" s="1">
        <v>1</v>
      </c>
      <c r="AP32" s="1"/>
      <c r="AQ32" s="1"/>
      <c r="AR32" s="18">
        <v>2</v>
      </c>
      <c r="AT32" s="34" t="s">
        <v>360</v>
      </c>
      <c r="AU32" s="45">
        <v>3</v>
      </c>
      <c r="AV32" s="45">
        <v>2</v>
      </c>
      <c r="AW32" s="45">
        <v>3</v>
      </c>
      <c r="AX32" s="45">
        <v>-2</v>
      </c>
      <c r="AY32" s="45">
        <v>1</v>
      </c>
      <c r="AZ32" s="45">
        <v>-1</v>
      </c>
      <c r="BA32" s="45">
        <v>-1</v>
      </c>
      <c r="BB32" s="45">
        <v>0</v>
      </c>
      <c r="BC32" s="45">
        <v>-1</v>
      </c>
      <c r="BD32" s="45">
        <v>1</v>
      </c>
      <c r="BE32" s="45">
        <v>1</v>
      </c>
      <c r="BF32" s="45">
        <v>5</v>
      </c>
      <c r="BG32" s="45">
        <v>0</v>
      </c>
      <c r="BH32" s="45">
        <v>0</v>
      </c>
      <c r="BI32" s="45">
        <v>10</v>
      </c>
      <c r="BJ32" s="45">
        <v>10</v>
      </c>
      <c r="BK32" s="45">
        <v>25</v>
      </c>
      <c r="BL32" s="47">
        <v>1</v>
      </c>
      <c r="BM32" s="1" t="s">
        <v>369</v>
      </c>
      <c r="BN32" s="45">
        <v>-3</v>
      </c>
      <c r="BO32" s="1">
        <v>54</v>
      </c>
      <c r="BP32" s="1">
        <v>51</v>
      </c>
      <c r="BQ32" s="1">
        <v>95</v>
      </c>
      <c r="BR32" s="1">
        <v>85</v>
      </c>
      <c r="BS32" s="1">
        <v>3</v>
      </c>
      <c r="BT32" s="48" t="s">
        <v>394</v>
      </c>
      <c r="BV32" s="27">
        <v>29</v>
      </c>
      <c r="BW32" s="54">
        <v>-4</v>
      </c>
    </row>
    <row r="33" spans="1:75" ht="15" customHeight="1" x14ac:dyDescent="0.25">
      <c r="A33" s="1">
        <v>29</v>
      </c>
      <c r="B33" s="1">
        <f t="shared" si="3"/>
        <v>98</v>
      </c>
      <c r="D33" s="34" t="s">
        <v>468</v>
      </c>
      <c r="E33" s="35">
        <v>6</v>
      </c>
      <c r="G33" s="34" t="s">
        <v>282</v>
      </c>
      <c r="H33" s="30" t="s">
        <v>292</v>
      </c>
      <c r="I33" s="30" t="s">
        <v>296</v>
      </c>
      <c r="J33" s="30" t="s">
        <v>296</v>
      </c>
      <c r="K33" s="30" t="s">
        <v>296</v>
      </c>
      <c r="L33" s="30" t="s">
        <v>296</v>
      </c>
      <c r="M33" s="30" t="s">
        <v>296</v>
      </c>
      <c r="N33" s="30" t="s">
        <v>292</v>
      </c>
      <c r="O33" s="30" t="s">
        <v>294</v>
      </c>
      <c r="P33" s="30" t="s">
        <v>293</v>
      </c>
      <c r="Q33" s="30" t="s">
        <v>293</v>
      </c>
      <c r="R33" s="30" t="s">
        <v>294</v>
      </c>
      <c r="S33" s="30" t="s">
        <v>290</v>
      </c>
      <c r="T33" s="30" t="s">
        <v>294</v>
      </c>
      <c r="U33" s="30" t="s">
        <v>285</v>
      </c>
      <c r="V33" s="30" t="s">
        <v>285</v>
      </c>
      <c r="W33" s="30" t="s">
        <v>285</v>
      </c>
      <c r="X33" s="30" t="s">
        <v>285</v>
      </c>
      <c r="Y33" s="30" t="s">
        <v>285</v>
      </c>
      <c r="Z33" s="30" t="s">
        <v>285</v>
      </c>
      <c r="AA33" s="30" t="s">
        <v>289</v>
      </c>
      <c r="AB33" s="30" t="s">
        <v>289</v>
      </c>
      <c r="AC33" s="37" t="s">
        <v>289</v>
      </c>
      <c r="AH33" s="41" t="s">
        <v>222</v>
      </c>
      <c r="AI33" s="1">
        <v>3</v>
      </c>
      <c r="AJ33" s="1"/>
      <c r="AK33" s="1">
        <v>1</v>
      </c>
      <c r="AL33" s="1">
        <v>1</v>
      </c>
      <c r="AM33" s="1">
        <v>1</v>
      </c>
      <c r="AN33" s="1"/>
      <c r="AO33" s="1">
        <v>1</v>
      </c>
      <c r="AP33" s="1">
        <v>1</v>
      </c>
      <c r="AQ33" s="1">
        <v>1</v>
      </c>
      <c r="AR33" s="18">
        <v>2</v>
      </c>
      <c r="AT33" s="34" t="s">
        <v>361</v>
      </c>
      <c r="AU33" s="45">
        <v>0</v>
      </c>
      <c r="AV33" s="45">
        <v>1</v>
      </c>
      <c r="AW33" s="45">
        <v>2</v>
      </c>
      <c r="AX33" s="45">
        <v>-3</v>
      </c>
      <c r="AY33" s="45">
        <v>2</v>
      </c>
      <c r="AZ33" s="45">
        <v>0</v>
      </c>
      <c r="BA33" s="45">
        <v>-1</v>
      </c>
      <c r="BB33" s="45">
        <v>0</v>
      </c>
      <c r="BC33" s="45">
        <v>0</v>
      </c>
      <c r="BD33" s="45">
        <v>-2</v>
      </c>
      <c r="BE33" s="45">
        <v>2</v>
      </c>
      <c r="BF33" s="45">
        <v>0</v>
      </c>
      <c r="BG33" s="45">
        <v>0</v>
      </c>
      <c r="BH33" s="45">
        <v>0</v>
      </c>
      <c r="BI33" s="45">
        <v>0</v>
      </c>
      <c r="BJ33" s="45">
        <v>10</v>
      </c>
      <c r="BK33" s="45">
        <v>25</v>
      </c>
      <c r="BL33" s="47">
        <v>1</v>
      </c>
      <c r="BM33" s="1" t="s">
        <v>369</v>
      </c>
      <c r="BN33" s="45">
        <v>0</v>
      </c>
      <c r="BO33" s="1">
        <v>73</v>
      </c>
      <c r="BP33" s="1">
        <v>68</v>
      </c>
      <c r="BQ33" s="1">
        <v>200</v>
      </c>
      <c r="BR33" s="1">
        <v>166</v>
      </c>
      <c r="BS33" s="1">
        <v>6</v>
      </c>
      <c r="BT33" s="48" t="s">
        <v>395</v>
      </c>
      <c r="BV33" s="27">
        <v>30</v>
      </c>
      <c r="BW33" s="54">
        <f>ROUND(BW38-5/6,1)</f>
        <v>-3.8</v>
      </c>
    </row>
    <row r="34" spans="1:75" ht="15" customHeight="1" x14ac:dyDescent="0.25">
      <c r="A34" s="1">
        <v>30</v>
      </c>
      <c r="B34" s="1">
        <f t="shared" si="3"/>
        <v>100</v>
      </c>
      <c r="D34" s="34" t="s">
        <v>469</v>
      </c>
      <c r="E34" s="35">
        <v>7</v>
      </c>
      <c r="G34" s="34" t="s">
        <v>283</v>
      </c>
      <c r="H34" s="30" t="s">
        <v>296</v>
      </c>
      <c r="I34" s="30" t="s">
        <v>296</v>
      </c>
      <c r="J34" s="30" t="s">
        <v>296</v>
      </c>
      <c r="K34" s="30" t="s">
        <v>296</v>
      </c>
      <c r="L34" s="30" t="s">
        <v>296</v>
      </c>
      <c r="M34" s="30" t="s">
        <v>296</v>
      </c>
      <c r="N34" s="30" t="s">
        <v>296</v>
      </c>
      <c r="O34" s="30" t="s">
        <v>301</v>
      </c>
      <c r="P34" s="30" t="s">
        <v>296</v>
      </c>
      <c r="Q34" s="30" t="s">
        <v>296</v>
      </c>
      <c r="R34" s="30" t="s">
        <v>301</v>
      </c>
      <c r="S34" s="30" t="s">
        <v>297</v>
      </c>
      <c r="T34" s="30" t="s">
        <v>301</v>
      </c>
      <c r="U34" s="30" t="s">
        <v>294</v>
      </c>
      <c r="V34" s="30" t="s">
        <v>294</v>
      </c>
      <c r="W34" s="30" t="s">
        <v>294</v>
      </c>
      <c r="X34" s="30" t="s">
        <v>294</v>
      </c>
      <c r="Y34" s="30" t="s">
        <v>294</v>
      </c>
      <c r="Z34" s="30" t="s">
        <v>294</v>
      </c>
      <c r="AA34" s="30" t="s">
        <v>290</v>
      </c>
      <c r="AB34" s="30" t="s">
        <v>290</v>
      </c>
      <c r="AC34" s="37" t="s">
        <v>290</v>
      </c>
      <c r="AH34" s="41" t="s">
        <v>223</v>
      </c>
      <c r="AI34" s="1">
        <v>1</v>
      </c>
      <c r="AJ34" s="1"/>
      <c r="AK34" s="1"/>
      <c r="AL34" s="1">
        <v>1</v>
      </c>
      <c r="AM34" s="1">
        <v>1</v>
      </c>
      <c r="AN34" s="1"/>
      <c r="AO34" s="1">
        <v>1</v>
      </c>
      <c r="AP34" s="1"/>
      <c r="AQ34" s="1"/>
      <c r="AR34" s="18">
        <v>2</v>
      </c>
      <c r="AT34" s="34" t="s">
        <v>362</v>
      </c>
      <c r="AU34" s="45">
        <v>2</v>
      </c>
      <c r="AV34" s="45">
        <v>0</v>
      </c>
      <c r="AW34" s="45">
        <v>3</v>
      </c>
      <c r="AX34" s="45">
        <v>0</v>
      </c>
      <c r="AY34" s="45">
        <v>0</v>
      </c>
      <c r="AZ34" s="45">
        <v>-2</v>
      </c>
      <c r="BA34" s="45">
        <v>-2</v>
      </c>
      <c r="BB34" s="45">
        <v>0</v>
      </c>
      <c r="BC34" s="45">
        <v>0</v>
      </c>
      <c r="BD34" s="45">
        <v>-2</v>
      </c>
      <c r="BE34" s="45">
        <v>2</v>
      </c>
      <c r="BF34" s="45">
        <v>0</v>
      </c>
      <c r="BG34" s="45">
        <v>-5</v>
      </c>
      <c r="BH34" s="45">
        <v>0</v>
      </c>
      <c r="BI34" s="45">
        <v>0</v>
      </c>
      <c r="BJ34" s="45">
        <v>10</v>
      </c>
      <c r="BK34" s="45">
        <v>25</v>
      </c>
      <c r="BL34" s="47">
        <v>1</v>
      </c>
      <c r="BM34" s="1" t="s">
        <v>369</v>
      </c>
      <c r="BN34" s="45">
        <v>0</v>
      </c>
      <c r="BO34" s="1">
        <v>73</v>
      </c>
      <c r="BP34" s="1">
        <v>73</v>
      </c>
      <c r="BQ34" s="1">
        <v>200</v>
      </c>
      <c r="BR34" s="1">
        <v>200</v>
      </c>
      <c r="BS34" s="1">
        <v>6</v>
      </c>
      <c r="BT34" s="48" t="s">
        <v>396</v>
      </c>
      <c r="BV34" s="27">
        <v>31</v>
      </c>
      <c r="BW34" s="54">
        <f>ROUND(BW38-4/6,1)</f>
        <v>-3.7</v>
      </c>
    </row>
    <row r="35" spans="1:75" ht="15" customHeight="1" thickBot="1" x14ac:dyDescent="0.3">
      <c r="D35" s="38" t="s">
        <v>470</v>
      </c>
      <c r="E35" s="59">
        <v>8</v>
      </c>
      <c r="G35" s="34" t="s">
        <v>284</v>
      </c>
      <c r="H35" s="30" t="s">
        <v>296</v>
      </c>
      <c r="I35" s="30" t="s">
        <v>296</v>
      </c>
      <c r="J35" s="30" t="s">
        <v>296</v>
      </c>
      <c r="K35" s="30" t="s">
        <v>296</v>
      </c>
      <c r="L35" s="30" t="s">
        <v>296</v>
      </c>
      <c r="M35" s="30" t="s">
        <v>296</v>
      </c>
      <c r="N35" s="30" t="s">
        <v>296</v>
      </c>
      <c r="O35" s="30" t="s">
        <v>296</v>
      </c>
      <c r="P35" s="30" t="s">
        <v>296</v>
      </c>
      <c r="Q35" s="30" t="s">
        <v>296</v>
      </c>
      <c r="R35" s="30" t="s">
        <v>296</v>
      </c>
      <c r="S35" s="30" t="s">
        <v>301</v>
      </c>
      <c r="T35" s="30" t="s">
        <v>296</v>
      </c>
      <c r="U35" s="30" t="s">
        <v>293</v>
      </c>
      <c r="V35" s="30" t="s">
        <v>293</v>
      </c>
      <c r="W35" s="30" t="s">
        <v>293</v>
      </c>
      <c r="X35" s="30" t="s">
        <v>293</v>
      </c>
      <c r="Y35" s="30" t="s">
        <v>293</v>
      </c>
      <c r="Z35" s="30" t="s">
        <v>293</v>
      </c>
      <c r="AA35" s="30" t="s">
        <v>292</v>
      </c>
      <c r="AB35" s="30" t="s">
        <v>292</v>
      </c>
      <c r="AC35" s="37" t="s">
        <v>292</v>
      </c>
      <c r="AH35" s="41" t="s">
        <v>229</v>
      </c>
      <c r="AI35" s="1"/>
      <c r="AJ35" s="1">
        <v>1</v>
      </c>
      <c r="AK35" s="1"/>
      <c r="AL35" s="1"/>
      <c r="AM35" s="1"/>
      <c r="AN35" s="1"/>
      <c r="AO35" s="1"/>
      <c r="AP35" s="1">
        <v>1</v>
      </c>
      <c r="AQ35" s="1">
        <v>1</v>
      </c>
      <c r="AR35" s="18"/>
      <c r="AT35" s="34" t="s">
        <v>363</v>
      </c>
      <c r="AU35" s="45">
        <v>0</v>
      </c>
      <c r="AV35" s="45">
        <v>2</v>
      </c>
      <c r="AW35" s="45">
        <v>0</v>
      </c>
      <c r="AX35" s="45">
        <v>1</v>
      </c>
      <c r="AY35" s="45">
        <v>0</v>
      </c>
      <c r="AZ35" s="45">
        <v>0</v>
      </c>
      <c r="BA35" s="45">
        <v>1</v>
      </c>
      <c r="BB35" s="45">
        <v>2</v>
      </c>
      <c r="BC35" s="45">
        <v>0</v>
      </c>
      <c r="BD35" s="45">
        <v>0</v>
      </c>
      <c r="BE35" s="45">
        <v>-1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20</v>
      </c>
      <c r="BL35" s="47">
        <v>2</v>
      </c>
      <c r="BM35" s="1" t="s">
        <v>369</v>
      </c>
      <c r="BN35" s="45">
        <v>6</v>
      </c>
      <c r="BO35" s="1">
        <v>67</v>
      </c>
      <c r="BP35" s="1">
        <v>67</v>
      </c>
      <c r="BQ35" s="1">
        <v>120</v>
      </c>
      <c r="BR35" s="1">
        <v>120</v>
      </c>
      <c r="BS35" s="1">
        <v>3</v>
      </c>
      <c r="BT35" s="48" t="s">
        <v>397</v>
      </c>
      <c r="BV35" s="27">
        <v>32</v>
      </c>
      <c r="BW35" s="54">
        <f>ROUND(BW38-3/6,1)</f>
        <v>-3.5</v>
      </c>
    </row>
    <row r="36" spans="1:75" ht="15" customHeight="1" thickBot="1" x14ac:dyDescent="0.3">
      <c r="G36" s="34" t="s">
        <v>227</v>
      </c>
      <c r="H36" s="30" t="s">
        <v>287</v>
      </c>
      <c r="I36" s="30" t="s">
        <v>287</v>
      </c>
      <c r="J36" s="30" t="s">
        <v>285</v>
      </c>
      <c r="K36" s="30" t="s">
        <v>291</v>
      </c>
      <c r="L36" s="30" t="s">
        <v>288</v>
      </c>
      <c r="M36" s="30" t="s">
        <v>289</v>
      </c>
      <c r="N36" s="30" t="s">
        <v>290</v>
      </c>
      <c r="O36" s="30" t="s">
        <v>285</v>
      </c>
      <c r="P36" s="30" t="s">
        <v>290</v>
      </c>
      <c r="Q36" s="30" t="s">
        <v>287</v>
      </c>
      <c r="R36" s="30" t="s">
        <v>286</v>
      </c>
      <c r="S36" s="30" t="s">
        <v>290</v>
      </c>
      <c r="T36" s="30" t="s">
        <v>285</v>
      </c>
      <c r="U36" s="30" t="s">
        <v>293</v>
      </c>
      <c r="V36" s="30" t="s">
        <v>290</v>
      </c>
      <c r="W36" s="30" t="s">
        <v>293</v>
      </c>
      <c r="X36" s="30" t="s">
        <v>290</v>
      </c>
      <c r="Y36" s="30" t="s">
        <v>294</v>
      </c>
      <c r="Z36" s="30" t="s">
        <v>293</v>
      </c>
      <c r="AA36" s="30" t="s">
        <v>293</v>
      </c>
      <c r="AB36" s="30" t="s">
        <v>289</v>
      </c>
      <c r="AC36" s="37" t="s">
        <v>293</v>
      </c>
      <c r="AH36" s="42" t="s">
        <v>230</v>
      </c>
      <c r="AI36" s="43"/>
      <c r="AJ36" s="43">
        <v>2</v>
      </c>
      <c r="AK36" s="43">
        <v>1</v>
      </c>
      <c r="AL36" s="43"/>
      <c r="AM36" s="43"/>
      <c r="AN36" s="43">
        <v>1</v>
      </c>
      <c r="AO36" s="43"/>
      <c r="AP36" s="43">
        <v>2</v>
      </c>
      <c r="AQ36" s="43">
        <v>2</v>
      </c>
      <c r="AR36" s="44"/>
      <c r="AT36" s="34" t="s">
        <v>364</v>
      </c>
      <c r="AU36" s="45">
        <v>29</v>
      </c>
      <c r="AV36" s="45">
        <v>-1</v>
      </c>
      <c r="AW36" s="45">
        <v>2</v>
      </c>
      <c r="AX36" s="45">
        <v>-5</v>
      </c>
      <c r="AY36" s="45">
        <v>0</v>
      </c>
      <c r="AZ36" s="45">
        <v>-3</v>
      </c>
      <c r="BA36" s="45">
        <v>0</v>
      </c>
      <c r="BB36" s="45">
        <v>0</v>
      </c>
      <c r="BC36" s="45">
        <v>-3</v>
      </c>
      <c r="BD36" s="45">
        <v>-3</v>
      </c>
      <c r="BE36" s="45">
        <v>5</v>
      </c>
      <c r="BF36" s="45">
        <v>-10</v>
      </c>
      <c r="BG36" s="45">
        <v>-10</v>
      </c>
      <c r="BH36" s="45">
        <v>-10</v>
      </c>
      <c r="BI36" s="45">
        <v>15</v>
      </c>
      <c r="BJ36" s="45">
        <v>10</v>
      </c>
      <c r="BK36" s="45">
        <v>25</v>
      </c>
      <c r="BL36" s="47">
        <v>1</v>
      </c>
      <c r="BM36" s="1" t="s">
        <v>377</v>
      </c>
      <c r="BN36" s="45">
        <v>6</v>
      </c>
      <c r="BO36" s="1">
        <v>108</v>
      </c>
      <c r="BP36" s="1">
        <v>108</v>
      </c>
      <c r="BQ36" s="1">
        <v>800</v>
      </c>
      <c r="BR36" s="1">
        <v>800</v>
      </c>
      <c r="BS36" s="1">
        <v>8</v>
      </c>
      <c r="BT36" s="48" t="s">
        <v>398</v>
      </c>
      <c r="BV36" s="27">
        <v>33</v>
      </c>
      <c r="BW36" s="54">
        <f>ROUND(BW38-2/6,1)</f>
        <v>-3.3</v>
      </c>
    </row>
    <row r="37" spans="1:75" ht="15" customHeight="1" thickBot="1" x14ac:dyDescent="0.3">
      <c r="G37" s="34" t="s">
        <v>233</v>
      </c>
      <c r="H37" s="30" t="s">
        <v>287</v>
      </c>
      <c r="I37" s="30" t="s">
        <v>294</v>
      </c>
      <c r="J37" s="30" t="s">
        <v>294</v>
      </c>
      <c r="K37" s="30" t="s">
        <v>291</v>
      </c>
      <c r="L37" s="30" t="s">
        <v>286</v>
      </c>
      <c r="M37" s="30" t="s">
        <v>286</v>
      </c>
      <c r="N37" s="30" t="s">
        <v>285</v>
      </c>
      <c r="O37" s="30" t="s">
        <v>294</v>
      </c>
      <c r="P37" s="30" t="s">
        <v>294</v>
      </c>
      <c r="Q37" s="30" t="s">
        <v>290</v>
      </c>
      <c r="R37" s="30" t="s">
        <v>290</v>
      </c>
      <c r="S37" s="30" t="s">
        <v>290</v>
      </c>
      <c r="T37" s="30" t="s">
        <v>286</v>
      </c>
      <c r="U37" s="30" t="s">
        <v>294</v>
      </c>
      <c r="V37" s="30" t="s">
        <v>294</v>
      </c>
      <c r="W37" s="30" t="s">
        <v>294</v>
      </c>
      <c r="X37" s="30" t="s">
        <v>294</v>
      </c>
      <c r="Y37" s="30" t="s">
        <v>294</v>
      </c>
      <c r="Z37" s="30" t="s">
        <v>294</v>
      </c>
      <c r="AA37" s="30" t="s">
        <v>294</v>
      </c>
      <c r="AB37" s="30" t="s">
        <v>287</v>
      </c>
      <c r="AC37" s="37" t="s">
        <v>287</v>
      </c>
      <c r="AH37" s="2"/>
      <c r="AT37" s="38" t="s">
        <v>365</v>
      </c>
      <c r="AU37" s="46">
        <v>0</v>
      </c>
      <c r="AV37" s="46">
        <v>0</v>
      </c>
      <c r="AW37" s="46">
        <v>3</v>
      </c>
      <c r="AX37" s="46">
        <v>-3</v>
      </c>
      <c r="AY37" s="46">
        <v>1</v>
      </c>
      <c r="AZ37" s="46">
        <v>0</v>
      </c>
      <c r="BA37" s="46">
        <v>0</v>
      </c>
      <c r="BB37" s="46">
        <v>2</v>
      </c>
      <c r="BC37" s="46">
        <v>-1</v>
      </c>
      <c r="BD37" s="46">
        <v>-4</v>
      </c>
      <c r="BE37" s="46">
        <v>2</v>
      </c>
      <c r="BF37" s="46">
        <v>0</v>
      </c>
      <c r="BG37" s="46">
        <v>0</v>
      </c>
      <c r="BH37" s="46">
        <v>0</v>
      </c>
      <c r="BI37" s="46">
        <v>0</v>
      </c>
      <c r="BJ37" s="46">
        <v>10</v>
      </c>
      <c r="BK37" s="46">
        <v>30</v>
      </c>
      <c r="BL37" s="49">
        <v>1</v>
      </c>
      <c r="BM37" s="43" t="s">
        <v>369</v>
      </c>
      <c r="BN37" s="46">
        <v>1</v>
      </c>
      <c r="BO37" s="43">
        <v>75</v>
      </c>
      <c r="BP37" s="43">
        <v>69</v>
      </c>
      <c r="BQ37" s="43">
        <v>225</v>
      </c>
      <c r="BR37" s="43">
        <v>190</v>
      </c>
      <c r="BS37" s="43">
        <v>6</v>
      </c>
      <c r="BT37" s="50" t="s">
        <v>399</v>
      </c>
      <c r="BV37" s="27">
        <v>34</v>
      </c>
      <c r="BW37" s="54">
        <f>ROUND(BW38-1/6,1)</f>
        <v>-3.2</v>
      </c>
    </row>
    <row r="38" spans="1:75" ht="15.75" thickBot="1" x14ac:dyDescent="0.3">
      <c r="D38" s="31" t="s">
        <v>318</v>
      </c>
      <c r="E38" s="33"/>
      <c r="G38" s="38" t="s">
        <v>239</v>
      </c>
      <c r="H38" s="39" t="s">
        <v>289</v>
      </c>
      <c r="I38" s="39" t="s">
        <v>289</v>
      </c>
      <c r="J38" s="39" t="s">
        <v>289</v>
      </c>
      <c r="K38" s="39" t="s">
        <v>289</v>
      </c>
      <c r="L38" s="39" t="s">
        <v>289</v>
      </c>
      <c r="M38" s="39" t="s">
        <v>289</v>
      </c>
      <c r="N38" s="39" t="s">
        <v>289</v>
      </c>
      <c r="O38" s="39" t="s">
        <v>289</v>
      </c>
      <c r="P38" s="39" t="s">
        <v>289</v>
      </c>
      <c r="Q38" s="39" t="s">
        <v>289</v>
      </c>
      <c r="R38" s="39" t="s">
        <v>289</v>
      </c>
      <c r="S38" s="39" t="s">
        <v>289</v>
      </c>
      <c r="T38" s="39" t="s">
        <v>289</v>
      </c>
      <c r="U38" s="39" t="s">
        <v>289</v>
      </c>
      <c r="V38" s="39" t="s">
        <v>289</v>
      </c>
      <c r="W38" s="39" t="s">
        <v>289</v>
      </c>
      <c r="X38" s="39" t="s">
        <v>289</v>
      </c>
      <c r="Y38" s="39" t="s">
        <v>289</v>
      </c>
      <c r="Z38" s="39" t="s">
        <v>289</v>
      </c>
      <c r="AA38" s="39" t="s">
        <v>289</v>
      </c>
      <c r="AB38" s="39" t="s">
        <v>289</v>
      </c>
      <c r="AC38" s="40" t="s">
        <v>289</v>
      </c>
      <c r="BV38" s="27">
        <v>35</v>
      </c>
      <c r="BW38" s="54">
        <v>-3</v>
      </c>
    </row>
    <row r="39" spans="1:75" x14ac:dyDescent="0.25">
      <c r="D39" s="34" t="s">
        <v>471</v>
      </c>
      <c r="E39" s="35">
        <v>1</v>
      </c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BV39" s="27">
        <v>36</v>
      </c>
      <c r="BW39" s="54">
        <f>ROUND(BW44-5/6,1)</f>
        <v>-2.8</v>
      </c>
    </row>
    <row r="40" spans="1:75" x14ac:dyDescent="0.25">
      <c r="D40" s="34" t="s">
        <v>472</v>
      </c>
      <c r="E40" s="35">
        <v>2</v>
      </c>
      <c r="G40" t="s">
        <v>485</v>
      </c>
      <c r="BV40" s="27">
        <v>37</v>
      </c>
      <c r="BW40" s="54">
        <f>ROUND(BW44-4/6,1)</f>
        <v>-2.7</v>
      </c>
    </row>
    <row r="41" spans="1:75" x14ac:dyDescent="0.25">
      <c r="D41" s="34" t="s">
        <v>473</v>
      </c>
      <c r="E41" s="35">
        <v>3</v>
      </c>
      <c r="I41" s="30"/>
      <c r="BV41" s="27">
        <v>38</v>
      </c>
      <c r="BW41" s="54">
        <f>ROUND(BW44-3/6,1)</f>
        <v>-2.5</v>
      </c>
    </row>
    <row r="42" spans="1:75" ht="15" customHeight="1" thickBot="1" x14ac:dyDescent="0.3">
      <c r="D42" s="34" t="s">
        <v>474</v>
      </c>
      <c r="E42" s="35">
        <v>4</v>
      </c>
      <c r="G42" t="s">
        <v>86</v>
      </c>
      <c r="H42" t="s">
        <v>65</v>
      </c>
      <c r="I42" s="115" t="s">
        <v>14</v>
      </c>
      <c r="J42" t="s">
        <v>486</v>
      </c>
      <c r="K42" t="s">
        <v>487</v>
      </c>
      <c r="L42" t="s">
        <v>133</v>
      </c>
      <c r="M42" t="s">
        <v>101</v>
      </c>
      <c r="P42" t="s">
        <v>86</v>
      </c>
      <c r="Q42" t="s">
        <v>67</v>
      </c>
      <c r="R42" s="115" t="s">
        <v>12</v>
      </c>
      <c r="S42" t="s">
        <v>486</v>
      </c>
      <c r="T42" t="s">
        <v>456</v>
      </c>
      <c r="Y42" t="s">
        <v>507</v>
      </c>
      <c r="BV42" s="27">
        <v>39</v>
      </c>
      <c r="BW42" s="54">
        <f>ROUND(BW44-2/6,1)</f>
        <v>-2.2999999999999998</v>
      </c>
    </row>
    <row r="43" spans="1:75" ht="15.75" thickBot="1" x14ac:dyDescent="0.3">
      <c r="D43" s="38" t="s">
        <v>470</v>
      </c>
      <c r="E43" s="59">
        <v>5</v>
      </c>
      <c r="G43" s="31" t="s">
        <v>429</v>
      </c>
      <c r="H43" s="32">
        <v>1</v>
      </c>
      <c r="I43" s="116">
        <v>0</v>
      </c>
      <c r="J43" s="117">
        <v>0</v>
      </c>
      <c r="K43" s="118">
        <v>0</v>
      </c>
      <c r="L43" s="118">
        <v>0</v>
      </c>
      <c r="M43" s="118">
        <v>0</v>
      </c>
      <c r="N43" s="461" t="s">
        <v>496</v>
      </c>
      <c r="O43" s="114"/>
      <c r="P43" s="31" t="s">
        <v>429</v>
      </c>
      <c r="Q43" s="118">
        <v>0</v>
      </c>
      <c r="R43" s="117">
        <v>0</v>
      </c>
      <c r="S43" s="117">
        <v>0</v>
      </c>
      <c r="T43" s="117">
        <v>0</v>
      </c>
      <c r="U43" s="118"/>
      <c r="V43" s="118"/>
      <c r="W43" s="461" t="s">
        <v>500</v>
      </c>
      <c r="Y43" s="128" t="s">
        <v>70</v>
      </c>
      <c r="Z43">
        <f>IN</f>
        <v>0</v>
      </c>
      <c r="BV43" s="27">
        <v>40</v>
      </c>
      <c r="BW43" s="54">
        <f>ROUND(BW44-1/6,1)</f>
        <v>-2.2000000000000002</v>
      </c>
    </row>
    <row r="44" spans="1:75" x14ac:dyDescent="0.25">
      <c r="G44" s="34" t="s">
        <v>488</v>
      </c>
      <c r="H44">
        <v>2</v>
      </c>
      <c r="I44" s="119">
        <v>0.02</v>
      </c>
      <c r="J44" s="120">
        <v>30</v>
      </c>
      <c r="K44" s="107">
        <v>-5</v>
      </c>
      <c r="L44" s="121">
        <v>0</v>
      </c>
      <c r="M44" s="121">
        <v>0</v>
      </c>
      <c r="N44" s="462"/>
      <c r="O44" s="107"/>
      <c r="P44" s="34" t="s">
        <v>501</v>
      </c>
      <c r="Q44" s="107">
        <v>15</v>
      </c>
      <c r="R44" s="120">
        <v>4</v>
      </c>
      <c r="S44" s="120">
        <v>65</v>
      </c>
      <c r="T44">
        <v>1</v>
      </c>
      <c r="U44" s="121"/>
      <c r="V44" s="121"/>
      <c r="W44" s="462"/>
      <c r="Y44" s="129" t="s">
        <v>71</v>
      </c>
      <c r="Z44">
        <f>EM</f>
        <v>0</v>
      </c>
      <c r="BV44" s="27">
        <v>41</v>
      </c>
      <c r="BW44" s="54">
        <v>-2</v>
      </c>
    </row>
    <row r="45" spans="1:75" ht="15.75" thickBot="1" x14ac:dyDescent="0.3">
      <c r="G45" s="34" t="s">
        <v>489</v>
      </c>
      <c r="H45">
        <v>3</v>
      </c>
      <c r="I45" s="119">
        <v>0.03</v>
      </c>
      <c r="J45" s="120">
        <v>30</v>
      </c>
      <c r="K45" s="107">
        <v>-7</v>
      </c>
      <c r="L45" s="121">
        <v>0</v>
      </c>
      <c r="M45" s="121">
        <v>0</v>
      </c>
      <c r="N45" s="462"/>
      <c r="O45" s="107"/>
      <c r="P45" s="34" t="s">
        <v>502</v>
      </c>
      <c r="Q45" s="107">
        <v>20</v>
      </c>
      <c r="R45" s="120">
        <v>8</v>
      </c>
      <c r="S45" s="120">
        <v>70</v>
      </c>
      <c r="T45">
        <v>2</v>
      </c>
      <c r="U45" s="121"/>
      <c r="V45" s="121"/>
      <c r="W45" s="462"/>
      <c r="Y45" s="129" t="s">
        <v>72</v>
      </c>
      <c r="Z45">
        <f>PR</f>
        <v>0</v>
      </c>
      <c r="BV45" s="27">
        <v>42</v>
      </c>
      <c r="BW45" s="54">
        <f>ROUND(BW50-5/6,1)</f>
        <v>-1.8</v>
      </c>
    </row>
    <row r="46" spans="1:75" x14ac:dyDescent="0.25">
      <c r="D46" s="31" t="s">
        <v>475</v>
      </c>
      <c r="E46" s="33"/>
      <c r="G46" s="34" t="s">
        <v>490</v>
      </c>
      <c r="H46">
        <v>4</v>
      </c>
      <c r="I46" s="119">
        <v>0.04</v>
      </c>
      <c r="J46" s="120">
        <v>35</v>
      </c>
      <c r="K46" s="107">
        <v>-12</v>
      </c>
      <c r="L46" s="121">
        <v>0</v>
      </c>
      <c r="M46" s="121">
        <v>0</v>
      </c>
      <c r="N46" s="462"/>
      <c r="O46" s="107"/>
      <c r="P46" s="34" t="s">
        <v>503</v>
      </c>
      <c r="Q46" s="107">
        <v>25</v>
      </c>
      <c r="R46" s="120">
        <v>12</v>
      </c>
      <c r="S46" s="120">
        <v>75</v>
      </c>
      <c r="T46">
        <v>3</v>
      </c>
      <c r="U46" s="121"/>
      <c r="V46" s="121"/>
      <c r="W46" s="462"/>
      <c r="Y46" s="129" t="s">
        <v>508</v>
      </c>
      <c r="Z46">
        <f>AVERAGE(IN,EM)</f>
        <v>0</v>
      </c>
      <c r="BV46" s="27">
        <v>43</v>
      </c>
      <c r="BW46" s="54">
        <f>ROUND(BW50-4/6,1)</f>
        <v>-1.7</v>
      </c>
    </row>
    <row r="47" spans="1:75" ht="15.75" thickBot="1" x14ac:dyDescent="0.3">
      <c r="D47" s="34" t="s">
        <v>476</v>
      </c>
      <c r="E47" s="35">
        <v>1</v>
      </c>
      <c r="G47" s="34" t="s">
        <v>491</v>
      </c>
      <c r="H47">
        <v>5</v>
      </c>
      <c r="I47" s="119">
        <v>0.05</v>
      </c>
      <c r="J47" s="120">
        <v>40</v>
      </c>
      <c r="K47" s="107">
        <v>-15</v>
      </c>
      <c r="L47" s="121">
        <v>0</v>
      </c>
      <c r="M47" s="121">
        <v>0</v>
      </c>
      <c r="N47" s="462"/>
      <c r="O47" s="107"/>
      <c r="P47" s="38" t="s">
        <v>504</v>
      </c>
      <c r="Q47" s="124">
        <v>30</v>
      </c>
      <c r="R47" s="123">
        <v>20</v>
      </c>
      <c r="S47" s="123">
        <v>80</v>
      </c>
      <c r="T47" s="75">
        <v>4</v>
      </c>
      <c r="U47" s="125"/>
      <c r="V47" s="125"/>
      <c r="W47" s="463"/>
      <c r="Y47" s="129" t="s">
        <v>509</v>
      </c>
      <c r="Z47">
        <f>AVERAGE(IN,PR)</f>
        <v>0</v>
      </c>
      <c r="BV47" s="27">
        <v>44</v>
      </c>
      <c r="BW47" s="54">
        <f>ROUND(BW50-3/6,1)</f>
        <v>-1.5</v>
      </c>
    </row>
    <row r="48" spans="1:75" ht="15.75" thickBot="1" x14ac:dyDescent="0.3">
      <c r="D48" s="34" t="s">
        <v>477</v>
      </c>
      <c r="E48" s="35">
        <v>2</v>
      </c>
      <c r="G48" s="34" t="s">
        <v>454</v>
      </c>
      <c r="H48">
        <v>6</v>
      </c>
      <c r="I48" s="119">
        <v>7.0000000000000007E-2</v>
      </c>
      <c r="J48" s="120">
        <v>45</v>
      </c>
      <c r="K48" s="107">
        <v>-17</v>
      </c>
      <c r="L48" s="121">
        <v>0</v>
      </c>
      <c r="M48" s="121">
        <v>0</v>
      </c>
      <c r="N48" s="462"/>
      <c r="O48" s="107"/>
      <c r="Y48" s="130" t="s">
        <v>510</v>
      </c>
      <c r="Z48">
        <f>AVERAGE(EM,PR)</f>
        <v>0</v>
      </c>
      <c r="BV48" s="27">
        <v>45</v>
      </c>
      <c r="BW48" s="54">
        <f>ROUND(BW50-2/6,1)</f>
        <v>-1.3</v>
      </c>
    </row>
    <row r="49" spans="4:75" x14ac:dyDescent="0.25">
      <c r="D49" s="34" t="s">
        <v>437</v>
      </c>
      <c r="E49" s="35">
        <v>3</v>
      </c>
      <c r="G49" s="34" t="s">
        <v>492</v>
      </c>
      <c r="H49">
        <v>7</v>
      </c>
      <c r="I49" s="119">
        <v>0.09</v>
      </c>
      <c r="J49" s="120">
        <v>50</v>
      </c>
      <c r="K49" s="107">
        <v>-34</v>
      </c>
      <c r="L49" s="121">
        <v>0</v>
      </c>
      <c r="M49" s="121">
        <v>0</v>
      </c>
      <c r="N49" s="462"/>
      <c r="O49" s="107"/>
      <c r="BV49" s="27">
        <v>46</v>
      </c>
      <c r="BW49" s="54">
        <f>ROUND(BW50-1/6,1)</f>
        <v>-1.2</v>
      </c>
    </row>
    <row r="50" spans="4:75" x14ac:dyDescent="0.25">
      <c r="D50" s="34" t="s">
        <v>478</v>
      </c>
      <c r="E50" s="35">
        <v>4</v>
      </c>
      <c r="G50" s="34" t="s">
        <v>493</v>
      </c>
      <c r="H50">
        <v>8</v>
      </c>
      <c r="I50" s="119">
        <v>0.11</v>
      </c>
      <c r="J50" s="120">
        <v>55</v>
      </c>
      <c r="K50" s="107">
        <v>-41</v>
      </c>
      <c r="L50" s="121">
        <v>0</v>
      </c>
      <c r="M50" s="121">
        <v>0</v>
      </c>
      <c r="N50" s="462"/>
      <c r="O50" s="107"/>
      <c r="BV50" s="27">
        <v>47</v>
      </c>
      <c r="BW50" s="54">
        <v>-1</v>
      </c>
    </row>
    <row r="51" spans="4:75" x14ac:dyDescent="0.25">
      <c r="D51" s="34" t="s">
        <v>479</v>
      </c>
      <c r="E51" s="35">
        <v>5</v>
      </c>
      <c r="G51" s="34" t="s">
        <v>494</v>
      </c>
      <c r="H51">
        <v>9</v>
      </c>
      <c r="I51" s="119">
        <v>0.13</v>
      </c>
      <c r="J51" s="120">
        <v>70</v>
      </c>
      <c r="K51" s="107">
        <v>-48</v>
      </c>
      <c r="L51" s="121">
        <v>0</v>
      </c>
      <c r="M51" s="121">
        <v>0</v>
      </c>
      <c r="N51" s="462"/>
      <c r="O51" s="107"/>
      <c r="BV51" s="27">
        <v>48</v>
      </c>
      <c r="BW51" s="54">
        <v>-0.7</v>
      </c>
    </row>
    <row r="52" spans="4:75" ht="15.75" thickBot="1" x14ac:dyDescent="0.3">
      <c r="D52" s="34" t="s">
        <v>480</v>
      </c>
      <c r="E52" s="35">
        <v>6</v>
      </c>
      <c r="G52" s="38" t="s">
        <v>495</v>
      </c>
      <c r="H52" s="75">
        <v>10</v>
      </c>
      <c r="I52" s="122">
        <v>0.15</v>
      </c>
      <c r="J52" s="123">
        <v>75</v>
      </c>
      <c r="K52" s="124">
        <v>-55</v>
      </c>
      <c r="L52" s="125">
        <v>0</v>
      </c>
      <c r="M52" s="125">
        <v>0</v>
      </c>
      <c r="N52" s="463"/>
      <c r="O52" s="107"/>
      <c r="BV52" s="27">
        <v>49</v>
      </c>
      <c r="BW52" s="54">
        <v>-0.3</v>
      </c>
    </row>
    <row r="53" spans="4:75" x14ac:dyDescent="0.25">
      <c r="D53" s="34" t="s">
        <v>481</v>
      </c>
      <c r="E53" s="35">
        <v>7</v>
      </c>
      <c r="G53" s="31" t="s">
        <v>429</v>
      </c>
      <c r="H53" s="32">
        <v>1</v>
      </c>
      <c r="I53" s="116">
        <v>0</v>
      </c>
      <c r="J53" s="117">
        <v>0</v>
      </c>
      <c r="K53" s="118">
        <v>0</v>
      </c>
      <c r="L53" s="118">
        <v>0</v>
      </c>
      <c r="M53" s="118">
        <v>0</v>
      </c>
      <c r="N53" s="461" t="s">
        <v>497</v>
      </c>
      <c r="BV53" s="27">
        <v>50</v>
      </c>
      <c r="BW53" s="54">
        <v>0</v>
      </c>
    </row>
    <row r="54" spans="4:75" x14ac:dyDescent="0.25">
      <c r="D54" s="34" t="s">
        <v>482</v>
      </c>
      <c r="E54" s="35">
        <v>8</v>
      </c>
      <c r="G54" s="34" t="s">
        <v>488</v>
      </c>
      <c r="H54">
        <v>2</v>
      </c>
      <c r="I54" s="119">
        <v>0.01</v>
      </c>
      <c r="J54" s="120">
        <v>30</v>
      </c>
      <c r="K54" s="107">
        <v>0</v>
      </c>
      <c r="L54" s="121">
        <v>0</v>
      </c>
      <c r="M54" s="121">
        <v>-3</v>
      </c>
      <c r="N54" s="462"/>
      <c r="BV54" s="27">
        <v>51</v>
      </c>
      <c r="BW54" s="54">
        <v>0</v>
      </c>
    </row>
    <row r="55" spans="4:75" x14ac:dyDescent="0.25">
      <c r="D55" s="34" t="s">
        <v>483</v>
      </c>
      <c r="E55" s="35">
        <v>9</v>
      </c>
      <c r="G55" s="34" t="s">
        <v>489</v>
      </c>
      <c r="H55">
        <v>3</v>
      </c>
      <c r="I55" s="119">
        <v>0.01</v>
      </c>
      <c r="J55" s="120">
        <v>30</v>
      </c>
      <c r="K55" s="107">
        <v>0</v>
      </c>
      <c r="L55" s="121">
        <v>0</v>
      </c>
      <c r="M55" s="121">
        <v>-5</v>
      </c>
      <c r="N55" s="462"/>
      <c r="BV55" s="27">
        <v>52</v>
      </c>
      <c r="BW55" s="54">
        <v>0.3</v>
      </c>
    </row>
    <row r="56" spans="4:75" ht="15.75" thickBot="1" x14ac:dyDescent="0.3">
      <c r="D56" s="38" t="s">
        <v>484</v>
      </c>
      <c r="E56" s="59">
        <v>10</v>
      </c>
      <c r="G56" s="34" t="s">
        <v>490</v>
      </c>
      <c r="H56">
        <v>4</v>
      </c>
      <c r="I56" s="119">
        <v>0.02</v>
      </c>
      <c r="J56" s="120">
        <v>35</v>
      </c>
      <c r="K56" s="107">
        <v>-3</v>
      </c>
      <c r="L56" s="121">
        <v>0</v>
      </c>
      <c r="M56" s="121">
        <v>-7</v>
      </c>
      <c r="N56" s="462"/>
      <c r="BV56" s="27">
        <v>53</v>
      </c>
      <c r="BW56" s="54">
        <v>0.7</v>
      </c>
    </row>
    <row r="57" spans="4:75" x14ac:dyDescent="0.25">
      <c r="G57" s="34" t="s">
        <v>491</v>
      </c>
      <c r="H57">
        <v>5</v>
      </c>
      <c r="I57" s="119">
        <v>0.02</v>
      </c>
      <c r="J57" s="120">
        <v>40</v>
      </c>
      <c r="K57" s="107">
        <v>-5</v>
      </c>
      <c r="L57" s="121">
        <v>0</v>
      </c>
      <c r="M57" s="121">
        <v>-9</v>
      </c>
      <c r="N57" s="462"/>
      <c r="BV57" s="27">
        <v>54</v>
      </c>
      <c r="BW57" s="54">
        <v>1</v>
      </c>
    </row>
    <row r="58" spans="4:75" x14ac:dyDescent="0.25">
      <c r="G58" s="34" t="s">
        <v>454</v>
      </c>
      <c r="H58">
        <v>6</v>
      </c>
      <c r="I58" s="119">
        <v>0.02</v>
      </c>
      <c r="J58" s="120">
        <v>45</v>
      </c>
      <c r="K58" s="107">
        <v>-6</v>
      </c>
      <c r="L58" s="121">
        <v>0</v>
      </c>
      <c r="M58" s="121">
        <v>-10</v>
      </c>
      <c r="N58" s="462"/>
      <c r="BV58" s="27">
        <v>55</v>
      </c>
      <c r="BW58" s="54">
        <f>ROUND(BW63-5/6,1)</f>
        <v>1.2</v>
      </c>
    </row>
    <row r="59" spans="4:75" x14ac:dyDescent="0.25">
      <c r="G59" s="34" t="s">
        <v>492</v>
      </c>
      <c r="H59">
        <v>7</v>
      </c>
      <c r="I59" s="119">
        <v>0.03</v>
      </c>
      <c r="J59" s="120">
        <v>50</v>
      </c>
      <c r="K59" s="107">
        <v>-7</v>
      </c>
      <c r="L59" s="121">
        <v>0</v>
      </c>
      <c r="M59" s="121">
        <v>-12</v>
      </c>
      <c r="N59" s="462"/>
      <c r="BV59" s="27">
        <v>56</v>
      </c>
      <c r="BW59" s="54">
        <f>ROUND(BW63-4/6,1)</f>
        <v>1.3</v>
      </c>
    </row>
    <row r="60" spans="4:75" x14ac:dyDescent="0.25">
      <c r="G60" s="34" t="s">
        <v>493</v>
      </c>
      <c r="H60">
        <v>8</v>
      </c>
      <c r="I60" s="119">
        <v>0.03</v>
      </c>
      <c r="J60" s="120">
        <v>55</v>
      </c>
      <c r="K60" s="107">
        <v>-8</v>
      </c>
      <c r="L60" s="121">
        <v>0</v>
      </c>
      <c r="M60" s="121">
        <v>-12</v>
      </c>
      <c r="N60" s="462"/>
      <c r="BV60" s="27">
        <v>57</v>
      </c>
      <c r="BW60" s="54">
        <f>ROUND(BW63-3/6,1)</f>
        <v>1.5</v>
      </c>
    </row>
    <row r="61" spans="4:75" x14ac:dyDescent="0.25">
      <c r="G61" s="34" t="s">
        <v>494</v>
      </c>
      <c r="H61">
        <v>9</v>
      </c>
      <c r="I61" s="119">
        <v>0.03</v>
      </c>
      <c r="J61" s="120">
        <v>70</v>
      </c>
      <c r="K61" s="107">
        <v>-9</v>
      </c>
      <c r="L61" s="121">
        <v>0</v>
      </c>
      <c r="M61" s="121">
        <v>-15</v>
      </c>
      <c r="N61" s="462"/>
      <c r="BV61" s="27">
        <v>58</v>
      </c>
      <c r="BW61" s="54">
        <f>ROUND(BW63-2/6,1)</f>
        <v>1.7</v>
      </c>
    </row>
    <row r="62" spans="4:75" ht="15.75" thickBot="1" x14ac:dyDescent="0.3">
      <c r="G62" s="38" t="s">
        <v>495</v>
      </c>
      <c r="H62" s="75">
        <v>10</v>
      </c>
      <c r="I62" s="122">
        <v>0.03</v>
      </c>
      <c r="J62" s="123">
        <v>75</v>
      </c>
      <c r="K62" s="124">
        <v>-10</v>
      </c>
      <c r="L62" s="125">
        <v>0</v>
      </c>
      <c r="M62" s="125">
        <v>-15</v>
      </c>
      <c r="N62" s="463"/>
      <c r="BV62" s="27">
        <v>59</v>
      </c>
      <c r="BW62" s="54">
        <f>ROUND(BW63-1/6,1)</f>
        <v>1.8</v>
      </c>
    </row>
    <row r="63" spans="4:75" x14ac:dyDescent="0.25">
      <c r="G63" s="31" t="s">
        <v>429</v>
      </c>
      <c r="H63" s="32">
        <v>1</v>
      </c>
      <c r="I63" s="116">
        <v>0</v>
      </c>
      <c r="J63" s="117">
        <v>0</v>
      </c>
      <c r="K63" s="118">
        <v>0</v>
      </c>
      <c r="L63" s="118">
        <v>0</v>
      </c>
      <c r="M63" s="118">
        <v>0</v>
      </c>
      <c r="N63" s="461" t="s">
        <v>498</v>
      </c>
      <c r="BV63" s="27">
        <v>60</v>
      </c>
      <c r="BW63" s="54">
        <v>2</v>
      </c>
    </row>
    <row r="64" spans="4:75" x14ac:dyDescent="0.25">
      <c r="G64" s="34" t="s">
        <v>488</v>
      </c>
      <c r="H64">
        <v>2</v>
      </c>
      <c r="I64" s="119">
        <v>0.01</v>
      </c>
      <c r="J64" s="120">
        <v>30</v>
      </c>
      <c r="K64" s="107">
        <v>-2</v>
      </c>
      <c r="L64" s="121">
        <v>-5</v>
      </c>
      <c r="M64" s="121">
        <v>0</v>
      </c>
      <c r="N64" s="462"/>
      <c r="BV64" s="27">
        <v>61</v>
      </c>
      <c r="BW64" s="54">
        <f>ROUND(BW69-5/6,1)</f>
        <v>2.2000000000000002</v>
      </c>
    </row>
    <row r="65" spans="7:75" x14ac:dyDescent="0.25">
      <c r="G65" s="34" t="s">
        <v>489</v>
      </c>
      <c r="H65">
        <v>3</v>
      </c>
      <c r="I65" s="119">
        <v>0.01</v>
      </c>
      <c r="J65" s="120">
        <v>30</v>
      </c>
      <c r="K65" s="107">
        <v>-3</v>
      </c>
      <c r="L65" s="121">
        <v>-5</v>
      </c>
      <c r="M65" s="121">
        <v>0</v>
      </c>
      <c r="N65" s="462"/>
      <c r="BV65" s="27">
        <v>62</v>
      </c>
      <c r="BW65" s="54">
        <f>ROUND(BW69-4/6,1)</f>
        <v>2.2999999999999998</v>
      </c>
    </row>
    <row r="66" spans="7:75" x14ac:dyDescent="0.25">
      <c r="G66" s="34" t="s">
        <v>490</v>
      </c>
      <c r="H66">
        <v>4</v>
      </c>
      <c r="I66" s="119">
        <v>0.02</v>
      </c>
      <c r="J66" s="120">
        <v>35</v>
      </c>
      <c r="K66" s="107">
        <v>-8</v>
      </c>
      <c r="L66" s="121">
        <v>-10</v>
      </c>
      <c r="M66" s="121">
        <v>0</v>
      </c>
      <c r="N66" s="462"/>
      <c r="BV66" s="27">
        <v>63</v>
      </c>
      <c r="BW66" s="54">
        <f>ROUND(BW69-3/6,1)</f>
        <v>2.5</v>
      </c>
    </row>
    <row r="67" spans="7:75" x14ac:dyDescent="0.25">
      <c r="G67" s="34" t="s">
        <v>491</v>
      </c>
      <c r="H67">
        <v>5</v>
      </c>
      <c r="I67" s="119">
        <v>0.02</v>
      </c>
      <c r="J67" s="120">
        <v>40</v>
      </c>
      <c r="K67" s="107">
        <v>-10</v>
      </c>
      <c r="L67" s="121">
        <v>-15</v>
      </c>
      <c r="M67" s="121">
        <v>0</v>
      </c>
      <c r="N67" s="462"/>
      <c r="BV67" s="27">
        <v>64</v>
      </c>
      <c r="BW67" s="54">
        <f>ROUND(BW69-2/6,1)</f>
        <v>2.7</v>
      </c>
    </row>
    <row r="68" spans="7:75" x14ac:dyDescent="0.25">
      <c r="G68" s="34" t="s">
        <v>454</v>
      </c>
      <c r="H68">
        <v>6</v>
      </c>
      <c r="I68" s="119">
        <v>0.02</v>
      </c>
      <c r="J68" s="120">
        <v>45</v>
      </c>
      <c r="K68" s="107">
        <v>-11</v>
      </c>
      <c r="L68" s="121">
        <v>-20</v>
      </c>
      <c r="M68" s="121">
        <v>0</v>
      </c>
      <c r="N68" s="462"/>
      <c r="BV68" s="27">
        <v>65</v>
      </c>
      <c r="BW68" s="54">
        <f>ROUND(BW69-1/6,1)</f>
        <v>2.8</v>
      </c>
    </row>
    <row r="69" spans="7:75" x14ac:dyDescent="0.25">
      <c r="G69" s="34" t="s">
        <v>492</v>
      </c>
      <c r="H69">
        <v>7</v>
      </c>
      <c r="I69" s="119">
        <v>0.03</v>
      </c>
      <c r="J69" s="120">
        <v>50</v>
      </c>
      <c r="K69" s="107">
        <v>-12</v>
      </c>
      <c r="L69" s="121">
        <v>-25</v>
      </c>
      <c r="M69" s="121">
        <v>0</v>
      </c>
      <c r="N69" s="462"/>
      <c r="BV69" s="27">
        <v>66</v>
      </c>
      <c r="BW69" s="54">
        <v>3</v>
      </c>
    </row>
    <row r="70" spans="7:75" x14ac:dyDescent="0.25">
      <c r="G70" s="34" t="s">
        <v>493</v>
      </c>
      <c r="H70">
        <v>8</v>
      </c>
      <c r="I70" s="119">
        <v>0.03</v>
      </c>
      <c r="J70" s="120">
        <v>55</v>
      </c>
      <c r="K70" s="107">
        <v>-13</v>
      </c>
      <c r="L70" s="121">
        <v>-25</v>
      </c>
      <c r="M70" s="121">
        <v>0</v>
      </c>
      <c r="N70" s="462"/>
      <c r="BV70" s="27">
        <v>67</v>
      </c>
      <c r="BW70" s="54">
        <f>ROUND(BW75-5/6,1)</f>
        <v>3.2</v>
      </c>
    </row>
    <row r="71" spans="7:75" x14ac:dyDescent="0.25">
      <c r="G71" s="34" t="s">
        <v>494</v>
      </c>
      <c r="H71">
        <v>9</v>
      </c>
      <c r="I71" s="119">
        <v>0.03</v>
      </c>
      <c r="J71" s="120">
        <v>70</v>
      </c>
      <c r="K71" s="107">
        <v>-14</v>
      </c>
      <c r="L71" s="121">
        <v>-30</v>
      </c>
      <c r="M71" s="121">
        <v>0</v>
      </c>
      <c r="N71" s="462"/>
      <c r="BV71" s="27">
        <v>68</v>
      </c>
      <c r="BW71" s="54">
        <f>ROUND(BW75-4/6,1)</f>
        <v>3.3</v>
      </c>
    </row>
    <row r="72" spans="7:75" ht="15.75" thickBot="1" x14ac:dyDescent="0.3">
      <c r="G72" s="38" t="s">
        <v>495</v>
      </c>
      <c r="H72" s="75">
        <v>10</v>
      </c>
      <c r="I72" s="122">
        <v>0.03</v>
      </c>
      <c r="J72" s="123">
        <v>75</v>
      </c>
      <c r="K72" s="124">
        <v>-15</v>
      </c>
      <c r="L72" s="125">
        <v>-30</v>
      </c>
      <c r="M72" s="125">
        <v>0</v>
      </c>
      <c r="N72" s="463"/>
      <c r="BV72" s="27">
        <v>69</v>
      </c>
      <c r="BW72" s="54">
        <f>ROUND(BW75-3/6,1)</f>
        <v>3.5</v>
      </c>
    </row>
    <row r="73" spans="7:75" x14ac:dyDescent="0.25">
      <c r="G73" s="31" t="s">
        <v>429</v>
      </c>
      <c r="H73" s="32">
        <v>1</v>
      </c>
      <c r="I73" s="116">
        <v>0</v>
      </c>
      <c r="J73" s="117">
        <v>0</v>
      </c>
      <c r="K73" s="118">
        <v>0</v>
      </c>
      <c r="L73" s="118">
        <v>0</v>
      </c>
      <c r="M73" s="118">
        <v>0</v>
      </c>
      <c r="N73" s="461" t="s">
        <v>499</v>
      </c>
      <c r="BV73" s="27">
        <v>70</v>
      </c>
      <c r="BW73" s="54">
        <f>ROUND(BW75-2/6,1)</f>
        <v>3.7</v>
      </c>
    </row>
    <row r="74" spans="7:75" x14ac:dyDescent="0.25">
      <c r="G74" s="34" t="s">
        <v>488</v>
      </c>
      <c r="H74">
        <v>2</v>
      </c>
      <c r="I74" s="119">
        <v>0.02</v>
      </c>
      <c r="J74" s="120">
        <v>30</v>
      </c>
      <c r="K74" s="107">
        <v>-3</v>
      </c>
      <c r="L74" s="121">
        <v>0</v>
      </c>
      <c r="M74" s="121">
        <v>0</v>
      </c>
      <c r="N74" s="462"/>
      <c r="BV74" s="27">
        <v>71</v>
      </c>
      <c r="BW74" s="54">
        <f>ROUND(BW75-1/6,1)</f>
        <v>3.8</v>
      </c>
    </row>
    <row r="75" spans="7:75" x14ac:dyDescent="0.25">
      <c r="G75" s="34" t="s">
        <v>489</v>
      </c>
      <c r="H75">
        <v>3</v>
      </c>
      <c r="I75" s="119">
        <v>0.02</v>
      </c>
      <c r="J75" s="120">
        <v>30</v>
      </c>
      <c r="K75" s="107">
        <v>-5</v>
      </c>
      <c r="L75" s="121">
        <v>0</v>
      </c>
      <c r="M75" s="121">
        <v>0</v>
      </c>
      <c r="N75" s="462"/>
      <c r="BV75" s="27">
        <v>72</v>
      </c>
      <c r="BW75" s="54">
        <v>4</v>
      </c>
    </row>
    <row r="76" spans="7:75" x14ac:dyDescent="0.25">
      <c r="G76" s="34" t="s">
        <v>490</v>
      </c>
      <c r="H76">
        <v>4</v>
      </c>
      <c r="I76" s="119">
        <v>0.03</v>
      </c>
      <c r="J76" s="120">
        <v>35</v>
      </c>
      <c r="K76" s="107">
        <v>-12</v>
      </c>
      <c r="L76" s="121">
        <v>0</v>
      </c>
      <c r="M76" s="121">
        <v>0</v>
      </c>
      <c r="N76" s="462"/>
      <c r="BV76" s="27">
        <v>73</v>
      </c>
      <c r="BW76" s="54">
        <f>ROUND(BW81-5/6,1)</f>
        <v>4.2</v>
      </c>
    </row>
    <row r="77" spans="7:75" x14ac:dyDescent="0.25">
      <c r="G77" s="34" t="s">
        <v>491</v>
      </c>
      <c r="H77">
        <v>5</v>
      </c>
      <c r="I77" s="119">
        <v>0.03</v>
      </c>
      <c r="J77" s="120">
        <v>40</v>
      </c>
      <c r="K77" s="107">
        <v>-15</v>
      </c>
      <c r="L77" s="121">
        <v>0</v>
      </c>
      <c r="M77" s="121">
        <v>0</v>
      </c>
      <c r="N77" s="462"/>
      <c r="BV77" s="27">
        <v>74</v>
      </c>
      <c r="BW77" s="54">
        <f>ROUND(BW81-4/6,1)</f>
        <v>4.3</v>
      </c>
    </row>
    <row r="78" spans="7:75" x14ac:dyDescent="0.25">
      <c r="G78" s="34" t="s">
        <v>454</v>
      </c>
      <c r="H78">
        <v>6</v>
      </c>
      <c r="I78" s="119">
        <v>0.03</v>
      </c>
      <c r="J78" s="120">
        <v>45</v>
      </c>
      <c r="K78" s="107">
        <v>-16</v>
      </c>
      <c r="L78" s="121">
        <v>0</v>
      </c>
      <c r="M78" s="121">
        <v>0</v>
      </c>
      <c r="N78" s="462"/>
      <c r="BV78" s="27">
        <v>75</v>
      </c>
      <c r="BW78" s="54">
        <f>ROUND(BW81-3/6,1)</f>
        <v>4.5</v>
      </c>
    </row>
    <row r="79" spans="7:75" x14ac:dyDescent="0.25">
      <c r="G79" s="34" t="s">
        <v>492</v>
      </c>
      <c r="H79">
        <v>7</v>
      </c>
      <c r="I79" s="119">
        <v>0.04</v>
      </c>
      <c r="J79" s="120">
        <v>50</v>
      </c>
      <c r="K79" s="107">
        <v>-17</v>
      </c>
      <c r="L79" s="121">
        <v>0</v>
      </c>
      <c r="M79" s="121">
        <v>0</v>
      </c>
      <c r="N79" s="462"/>
      <c r="BV79" s="27">
        <v>76</v>
      </c>
      <c r="BW79" s="54">
        <f>ROUND(BW81-2/6,1)</f>
        <v>4.7</v>
      </c>
    </row>
    <row r="80" spans="7:75" x14ac:dyDescent="0.25">
      <c r="G80" s="34" t="s">
        <v>493</v>
      </c>
      <c r="H80">
        <v>8</v>
      </c>
      <c r="I80" s="119">
        <v>0.04</v>
      </c>
      <c r="J80" s="120">
        <v>55</v>
      </c>
      <c r="K80" s="107">
        <v>-18</v>
      </c>
      <c r="L80" s="121">
        <v>0</v>
      </c>
      <c r="M80" s="121">
        <v>0</v>
      </c>
      <c r="N80" s="462"/>
      <c r="BV80" s="27">
        <v>77</v>
      </c>
      <c r="BW80" s="54">
        <f>ROUND(BW81-1/6,1)</f>
        <v>4.8</v>
      </c>
    </row>
    <row r="81" spans="7:75" x14ac:dyDescent="0.25">
      <c r="G81" s="34" t="s">
        <v>494</v>
      </c>
      <c r="H81">
        <v>9</v>
      </c>
      <c r="I81" s="119">
        <v>0.04</v>
      </c>
      <c r="J81" s="120">
        <v>70</v>
      </c>
      <c r="K81" s="107">
        <v>-19</v>
      </c>
      <c r="L81" s="121">
        <v>0</v>
      </c>
      <c r="M81" s="121">
        <v>0</v>
      </c>
      <c r="N81" s="462"/>
      <c r="BV81" s="27">
        <v>78</v>
      </c>
      <c r="BW81" s="54">
        <v>5</v>
      </c>
    </row>
    <row r="82" spans="7:75" ht="15.75" thickBot="1" x14ac:dyDescent="0.3">
      <c r="G82" s="38" t="s">
        <v>495</v>
      </c>
      <c r="H82" s="75">
        <v>10</v>
      </c>
      <c r="I82" s="122">
        <v>0.04</v>
      </c>
      <c r="J82" s="123">
        <v>75</v>
      </c>
      <c r="K82" s="124">
        <v>-20</v>
      </c>
      <c r="L82" s="125">
        <v>0</v>
      </c>
      <c r="M82" s="125">
        <v>0</v>
      </c>
      <c r="N82" s="463"/>
      <c r="BV82" s="27">
        <v>79</v>
      </c>
      <c r="BW82" s="54">
        <f>ROUND(BW87-5/6,1)</f>
        <v>5.2</v>
      </c>
    </row>
    <row r="83" spans="7:75" x14ac:dyDescent="0.25">
      <c r="BV83" s="27">
        <v>80</v>
      </c>
      <c r="BW83" s="54">
        <f>ROUND(BW87-4/6,1)</f>
        <v>5.3</v>
      </c>
    </row>
    <row r="84" spans="7:75" x14ac:dyDescent="0.25">
      <c r="BV84" s="27">
        <v>81</v>
      </c>
      <c r="BW84" s="54">
        <f>ROUND(BW87-3/6,1)</f>
        <v>5.5</v>
      </c>
    </row>
    <row r="85" spans="7:75" x14ac:dyDescent="0.25">
      <c r="BV85" s="27">
        <v>82</v>
      </c>
      <c r="BW85" s="54">
        <f>ROUND(BW87-2/6,1)</f>
        <v>5.7</v>
      </c>
    </row>
    <row r="86" spans="7:75" x14ac:dyDescent="0.25">
      <c r="BV86" s="27">
        <v>83</v>
      </c>
      <c r="BW86" s="54">
        <f>ROUND(BW87-1/6,1)</f>
        <v>5.8</v>
      </c>
    </row>
    <row r="87" spans="7:75" x14ac:dyDescent="0.25">
      <c r="BV87" s="27">
        <v>84</v>
      </c>
      <c r="BW87" s="54">
        <v>6</v>
      </c>
    </row>
    <row r="88" spans="7:75" x14ac:dyDescent="0.25">
      <c r="BV88" s="27">
        <v>85</v>
      </c>
      <c r="BW88" s="54">
        <v>6.3</v>
      </c>
    </row>
    <row r="89" spans="7:75" x14ac:dyDescent="0.25">
      <c r="BV89" s="27">
        <v>86</v>
      </c>
      <c r="BW89" s="54">
        <v>6.7</v>
      </c>
    </row>
    <row r="90" spans="7:75" x14ac:dyDescent="0.25">
      <c r="BV90" s="27">
        <v>87</v>
      </c>
      <c r="BW90" s="54">
        <v>7</v>
      </c>
    </row>
    <row r="91" spans="7:75" x14ac:dyDescent="0.25">
      <c r="BV91" s="27">
        <v>88</v>
      </c>
      <c r="BW91" s="54">
        <v>7.3</v>
      </c>
    </row>
    <row r="92" spans="7:75" x14ac:dyDescent="0.25">
      <c r="BV92" s="27">
        <v>89</v>
      </c>
      <c r="BW92" s="54">
        <v>7.7</v>
      </c>
    </row>
    <row r="93" spans="7:75" x14ac:dyDescent="0.25">
      <c r="BV93" s="27">
        <v>90</v>
      </c>
      <c r="BW93" s="54">
        <v>8</v>
      </c>
    </row>
    <row r="94" spans="7:75" x14ac:dyDescent="0.25">
      <c r="BV94" s="27">
        <v>91</v>
      </c>
      <c r="BW94" s="54">
        <v>8.3000000000000007</v>
      </c>
    </row>
    <row r="95" spans="7:75" x14ac:dyDescent="0.25">
      <c r="BV95" s="27">
        <v>92</v>
      </c>
      <c r="BW95" s="54">
        <v>8.6999999999999993</v>
      </c>
    </row>
    <row r="96" spans="7:75" x14ac:dyDescent="0.25">
      <c r="BV96" s="27">
        <v>93</v>
      </c>
      <c r="BW96" s="54">
        <v>9</v>
      </c>
    </row>
    <row r="97" spans="74:75" x14ac:dyDescent="0.25">
      <c r="BV97" s="27">
        <v>94</v>
      </c>
      <c r="BW97" s="54">
        <v>9.5</v>
      </c>
    </row>
    <row r="98" spans="74:75" x14ac:dyDescent="0.25">
      <c r="BV98" s="27">
        <v>95</v>
      </c>
      <c r="BW98" s="54">
        <v>10</v>
      </c>
    </row>
    <row r="99" spans="74:75" x14ac:dyDescent="0.25">
      <c r="BV99" s="27">
        <v>96</v>
      </c>
      <c r="BW99" s="54">
        <v>11</v>
      </c>
    </row>
    <row r="100" spans="74:75" x14ac:dyDescent="0.25">
      <c r="BV100" s="27">
        <v>97</v>
      </c>
      <c r="BW100" s="54">
        <v>12</v>
      </c>
    </row>
    <row r="101" spans="74:75" x14ac:dyDescent="0.25">
      <c r="BV101" s="27">
        <v>98</v>
      </c>
      <c r="BW101" s="54">
        <v>13</v>
      </c>
    </row>
    <row r="102" spans="74:75" x14ac:dyDescent="0.25">
      <c r="BV102" s="27">
        <v>99</v>
      </c>
      <c r="BW102" s="54">
        <v>14</v>
      </c>
    </row>
    <row r="103" spans="74:75" ht="15.75" thickBot="1" x14ac:dyDescent="0.3">
      <c r="BV103" s="52">
        <v>100</v>
      </c>
      <c r="BW103" s="55">
        <v>15</v>
      </c>
    </row>
  </sheetData>
  <mergeCells count="7">
    <mergeCell ref="N73:N82"/>
    <mergeCell ref="W43:W47"/>
    <mergeCell ref="BO2:BP2"/>
    <mergeCell ref="BQ2:BR2"/>
    <mergeCell ref="N43:N52"/>
    <mergeCell ref="N53:N62"/>
    <mergeCell ref="N63:N72"/>
  </mergeCells>
  <phoneticPr fontId="5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52</vt:i4>
      </vt:variant>
    </vt:vector>
  </HeadingPairs>
  <TitlesOfParts>
    <vt:vector size="58" baseType="lpstr">
      <vt:lpstr>Front</vt:lpstr>
      <vt:lpstr>Combat</vt:lpstr>
      <vt:lpstr>Skills</vt:lpstr>
      <vt:lpstr>Trappings</vt:lpstr>
      <vt:lpstr>Worksheet</vt:lpstr>
      <vt:lpstr>Source_Data</vt:lpstr>
      <vt:lpstr>AG</vt:lpstr>
      <vt:lpstr>BMR</vt:lpstr>
      <vt:lpstr>Body_Development</vt:lpstr>
      <vt:lpstr>CO</vt:lpstr>
      <vt:lpstr>Cost_Melee</vt:lpstr>
      <vt:lpstr>Cost_Ranged</vt:lpstr>
      <vt:lpstr>Cost_Shield</vt:lpstr>
      <vt:lpstr>Cost_Unarmed</vt:lpstr>
      <vt:lpstr>Culture</vt:lpstr>
      <vt:lpstr>EM</vt:lpstr>
      <vt:lpstr>HP</vt:lpstr>
      <vt:lpstr>IN</vt:lpstr>
      <vt:lpstr>Level</vt:lpstr>
      <vt:lpstr>ME</vt:lpstr>
      <vt:lpstr>MMP</vt:lpstr>
      <vt:lpstr>Power</vt:lpstr>
      <vt:lpstr>Power_Development</vt:lpstr>
      <vt:lpstr>PR</vt:lpstr>
      <vt:lpstr>Combat!Print_Area</vt:lpstr>
      <vt:lpstr>Front!Print_Area</vt:lpstr>
      <vt:lpstr>Skills!Print_Area</vt:lpstr>
      <vt:lpstr>Trappings!Print_Area</vt:lpstr>
      <vt:lpstr>Skills!Print_Titles</vt:lpstr>
      <vt:lpstr>Profession</vt:lpstr>
      <vt:lpstr>QU</vt:lpstr>
      <vt:lpstr>Race</vt:lpstr>
      <vt:lpstr>Rank_Bonus</vt:lpstr>
      <vt:lpstr>RE</vt:lpstr>
      <vt:lpstr>Realm</vt:lpstr>
      <vt:lpstr>Realm_Options</vt:lpstr>
      <vt:lpstr>Recovery</vt:lpstr>
      <vt:lpstr>RS</vt:lpstr>
      <vt:lpstr>SD</vt:lpstr>
      <vt:lpstr>Size</vt:lpstr>
      <vt:lpstr>ST</vt:lpstr>
      <vt:lpstr>Stat_Bonus</vt:lpstr>
      <vt:lpstr>Stride</vt:lpstr>
      <vt:lpstr>Table_Armor_Arms</vt:lpstr>
      <vt:lpstr>Table_Armor_Chest</vt:lpstr>
      <vt:lpstr>Table_Armor_Head</vt:lpstr>
      <vt:lpstr>Table_Armor_Legs</vt:lpstr>
      <vt:lpstr>Table_Armor_Shields</vt:lpstr>
      <vt:lpstr>Table_Culture</vt:lpstr>
      <vt:lpstr>Table_Culture_Ranks</vt:lpstr>
      <vt:lpstr>Table_Melee_Weapons</vt:lpstr>
      <vt:lpstr>Table_Profession</vt:lpstr>
      <vt:lpstr>Table_Profession_Skills</vt:lpstr>
      <vt:lpstr>Table_Race</vt:lpstr>
      <vt:lpstr>Table_Ranged_Weapons</vt:lpstr>
      <vt:lpstr>Table_Realm_Stat</vt:lpstr>
      <vt:lpstr>Table_Unarmed_Attacks</vt:lpstr>
      <vt:lpstr>Weight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Wijbrandus</dc:creator>
  <cp:lastModifiedBy>Sean Wijbrandus</cp:lastModifiedBy>
  <cp:lastPrinted>2026-05-27T00:55:15Z</cp:lastPrinted>
  <dcterms:created xsi:type="dcterms:W3CDTF">2025-09-10T15:20:03Z</dcterms:created>
  <dcterms:modified xsi:type="dcterms:W3CDTF">2026-06-04T12:40:29Z</dcterms:modified>
</cp:coreProperties>
</file>