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E:\Cloud\OneDrive\RPG Active\GURPs\"/>
    </mc:Choice>
  </mc:AlternateContent>
  <xr:revisionPtr revIDLastSave="1" documentId="A67DC613BF3F02B5F90D21E908A7DD07E4937EFB" xr6:coauthVersionLast="25" xr6:coauthVersionMax="25" xr10:uidLastSave="{73D7F784-DF40-4B6D-B0D1-A4317F01D05D}"/>
  <bookViews>
    <workbookView xWindow="0" yWindow="0" windowWidth="28800" windowHeight="12135" xr2:uid="{00000000-000D-0000-FFFF-FFFF00000000}"/>
  </bookViews>
  <sheets>
    <sheet name="Character" sheetId="3" r:id="rId1"/>
    <sheet name="Skills" sheetId="8" r:id="rId2"/>
    <sheet name="Talents" sheetId="9" r:id="rId3"/>
    <sheet name="Advantages" sheetId="6" r:id="rId4"/>
    <sheet name="Disadvantages" sheetId="7" r:id="rId5"/>
    <sheet name="Sheet1" sheetId="1" r:id="rId6"/>
    <sheet name="Costs" sheetId="2" r:id="rId7"/>
    <sheet name="Skills_data" sheetId="5" r:id="rId8"/>
  </sheets>
  <definedNames>
    <definedName name="_xlnm._FilterDatabase" localSheetId="3" hidden="1">Advantages!$A$2:$F$2</definedName>
    <definedName name="_xlnm._FilterDatabase" localSheetId="0" hidden="1">Skills!$A$2:$G$122</definedName>
    <definedName name="_xlnm._FilterDatabase" localSheetId="4" hidden="1">Disadvantages!$A$2:$F$77</definedName>
    <definedName name="_xlnm._FilterDatabase" localSheetId="7" hidden="1">Skills_data!$B$2:$G$2</definedName>
    <definedName name="Basic_Lift">Character!$B$15</definedName>
    <definedName name="Basic_Move">Character!$B$14</definedName>
    <definedName name="Basic_Speed">Character!$B$13</definedName>
    <definedName name="Damage_Table">Costs!$H$8:$J$59</definedName>
    <definedName name="DX">Character!$B$6</definedName>
    <definedName name="FP">Character!$B$12</definedName>
    <definedName name="HP">Character!$B$9</definedName>
    <definedName name="HT">Character!$B$8</definedName>
    <definedName name="IQ">Character!$B$7</definedName>
    <definedName name="Per">Character!$B$11</definedName>
    <definedName name="Skill_Difficulty">Sheet1!$H$3:$I$6</definedName>
    <definedName name="Skill_Points">Sheet1!$H$9:$I$21</definedName>
    <definedName name="ST">Character!$B$5</definedName>
    <definedName name="Will">Character!$B$10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8" l="1"/>
  <c r="C46" i="9"/>
  <c r="C45" i="9"/>
  <c r="C44" i="9"/>
  <c r="C43" i="9"/>
  <c r="C42" i="9"/>
  <c r="C41" i="9"/>
  <c r="C40" i="9"/>
  <c r="G39" i="9"/>
  <c r="C39" i="9"/>
  <c r="K38" i="9"/>
  <c r="G38" i="9"/>
  <c r="C38" i="9"/>
  <c r="K37" i="9"/>
  <c r="G37" i="9"/>
  <c r="C37" i="9"/>
  <c r="K36" i="9"/>
  <c r="G36" i="9"/>
  <c r="C36" i="9"/>
  <c r="K35" i="9"/>
  <c r="G35" i="9"/>
  <c r="C35" i="9"/>
  <c r="K34" i="9"/>
  <c r="G34" i="9"/>
  <c r="C34" i="9"/>
  <c r="K33" i="9"/>
  <c r="G33" i="9"/>
  <c r="C33" i="9"/>
  <c r="K32" i="9"/>
  <c r="G32" i="9"/>
  <c r="C32" i="9"/>
  <c r="K31" i="9"/>
  <c r="G31" i="9"/>
  <c r="C31" i="9"/>
  <c r="K30" i="9"/>
  <c r="G30" i="9"/>
  <c r="C30" i="9"/>
  <c r="K29" i="9"/>
  <c r="G29" i="9"/>
  <c r="C29" i="9"/>
  <c r="K28" i="9"/>
  <c r="G28" i="9"/>
  <c r="C28" i="9"/>
  <c r="K27" i="9"/>
  <c r="G27" i="9"/>
  <c r="C27" i="9"/>
  <c r="K26" i="9"/>
  <c r="G26" i="9"/>
  <c r="C26" i="9"/>
  <c r="K25" i="9"/>
  <c r="G25" i="9"/>
  <c r="C25" i="9"/>
  <c r="K24" i="9"/>
  <c r="G24" i="9"/>
  <c r="C24" i="9"/>
  <c r="K23" i="9"/>
  <c r="G23" i="9"/>
  <c r="C23" i="9"/>
  <c r="K22" i="9"/>
  <c r="G22" i="9"/>
  <c r="C22" i="9"/>
  <c r="K21" i="9"/>
  <c r="G21" i="9"/>
  <c r="C21" i="9"/>
  <c r="K20" i="9"/>
  <c r="G20" i="9"/>
  <c r="C20" i="9"/>
  <c r="K19" i="9"/>
  <c r="G19" i="9"/>
  <c r="C19" i="9"/>
  <c r="K18" i="9"/>
  <c r="G18" i="9"/>
  <c r="C18" i="9"/>
  <c r="K17" i="9"/>
  <c r="G17" i="9"/>
  <c r="C17" i="9"/>
  <c r="K16" i="9"/>
  <c r="G16" i="9"/>
  <c r="C16" i="9"/>
  <c r="K15" i="9"/>
  <c r="G15" i="9"/>
  <c r="C15" i="9"/>
  <c r="K14" i="9"/>
  <c r="G14" i="9"/>
  <c r="C14" i="9"/>
  <c r="K13" i="9"/>
  <c r="G13" i="9"/>
  <c r="C13" i="9"/>
  <c r="K12" i="9"/>
  <c r="G12" i="9"/>
  <c r="C12" i="9"/>
  <c r="K11" i="9"/>
  <c r="G11" i="9"/>
  <c r="C11" i="9"/>
  <c r="K10" i="9"/>
  <c r="G10" i="9"/>
  <c r="C10" i="9"/>
  <c r="K9" i="9"/>
  <c r="G9" i="9"/>
  <c r="C9" i="9"/>
  <c r="K8" i="9"/>
  <c r="G8" i="9"/>
  <c r="C8" i="9"/>
  <c r="K7" i="9"/>
  <c r="G7" i="9"/>
  <c r="C7" i="9"/>
  <c r="K6" i="9"/>
  <c r="G6" i="9"/>
  <c r="C6" i="9"/>
  <c r="K5" i="9"/>
  <c r="G5" i="9"/>
  <c r="C5" i="9"/>
  <c r="K4" i="9"/>
  <c r="G4" i="9"/>
  <c r="C4" i="9"/>
  <c r="K3" i="9"/>
  <c r="G3" i="9"/>
  <c r="C3" i="9"/>
  <c r="K2" i="9"/>
  <c r="G2" i="9"/>
  <c r="C2" i="9"/>
  <c r="N69" i="8" l="1"/>
  <c r="N70" i="8"/>
  <c r="N73" i="8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" i="7"/>
  <c r="C58" i="8" l="1"/>
  <c r="C55" i="8"/>
  <c r="J56" i="8"/>
  <c r="C46" i="8"/>
  <c r="C41" i="8"/>
  <c r="J38" i="8"/>
  <c r="C37" i="8"/>
  <c r="C36" i="8"/>
  <c r="J35" i="8"/>
  <c r="C35" i="8"/>
  <c r="J34" i="8"/>
  <c r="C33" i="8"/>
  <c r="C32" i="8"/>
  <c r="J23" i="8"/>
  <c r="J22" i="8"/>
  <c r="J20" i="8"/>
  <c r="C20" i="8"/>
  <c r="C19" i="8"/>
  <c r="C18" i="8"/>
  <c r="C17" i="8"/>
  <c r="C16" i="8"/>
  <c r="C14" i="8"/>
  <c r="C13" i="8"/>
  <c r="C6" i="8"/>
  <c r="C5" i="8"/>
  <c r="E13" i="3" l="1"/>
  <c r="E14" i="3"/>
  <c r="E9" i="3"/>
  <c r="E10" i="3"/>
  <c r="E11" i="3"/>
  <c r="E12" i="3"/>
  <c r="B5" i="3"/>
  <c r="C9" i="3" s="1"/>
  <c r="B9" i="3" s="1"/>
  <c r="L2" i="3" s="1"/>
  <c r="E5" i="3"/>
  <c r="N67" i="8" s="1"/>
  <c r="B6" i="3"/>
  <c r="E6" i="3"/>
  <c r="B7" i="3"/>
  <c r="E7" i="3"/>
  <c r="B8" i="3"/>
  <c r="E8" i="3"/>
  <c r="N68" i="8" l="1"/>
  <c r="N75" i="8" s="1"/>
  <c r="C13" i="3"/>
  <c r="B13" i="3" s="1"/>
  <c r="E57" i="8"/>
  <c r="C57" i="8" s="1"/>
  <c r="E11" i="8"/>
  <c r="C11" i="8" s="1"/>
  <c r="E8" i="8"/>
  <c r="C8" i="8" s="1"/>
  <c r="E9" i="8"/>
  <c r="C9" i="8" s="1"/>
  <c r="L55" i="8"/>
  <c r="J55" i="8" s="1"/>
  <c r="L54" i="8"/>
  <c r="J54" i="8" s="1"/>
  <c r="L53" i="8"/>
  <c r="J53" i="8" s="1"/>
  <c r="L52" i="8"/>
  <c r="J52" i="8" s="1"/>
  <c r="L51" i="8"/>
  <c r="J51" i="8" s="1"/>
  <c r="L50" i="8"/>
  <c r="J50" i="8" s="1"/>
  <c r="L49" i="8"/>
  <c r="J49" i="8" s="1"/>
  <c r="L36" i="3" s="1"/>
  <c r="L48" i="8"/>
  <c r="J48" i="8" s="1"/>
  <c r="L37" i="8" s="1"/>
  <c r="L47" i="8"/>
  <c r="J47" i="8" s="1"/>
  <c r="L46" i="8"/>
  <c r="J46" i="8" s="1"/>
  <c r="L36" i="8"/>
  <c r="J36" i="8" s="1"/>
  <c r="L33" i="8"/>
  <c r="J33" i="8" s="1"/>
  <c r="E27" i="8"/>
  <c r="C27" i="8" s="1"/>
  <c r="L21" i="8"/>
  <c r="J21" i="8" s="1"/>
  <c r="E4" i="8"/>
  <c r="C4" i="8" s="1"/>
  <c r="E28" i="8" s="1"/>
  <c r="C28" i="8" s="1"/>
  <c r="E3" i="8"/>
  <c r="C3" i="8" s="1"/>
  <c r="E59" i="8" s="1"/>
  <c r="C59" i="8" s="1"/>
  <c r="E54" i="8"/>
  <c r="C54" i="8" s="1"/>
  <c r="L57" i="8"/>
  <c r="J57" i="8" s="1"/>
  <c r="L45" i="8"/>
  <c r="J45" i="8" s="1"/>
  <c r="L43" i="8"/>
  <c r="J43" i="8" s="1"/>
  <c r="L41" i="8"/>
  <c r="J41" i="8" s="1"/>
  <c r="L39" i="8"/>
  <c r="J39" i="8" s="1"/>
  <c r="L27" i="8"/>
  <c r="J27" i="8" s="1"/>
  <c r="L35" i="3" s="1"/>
  <c r="L5" i="8"/>
  <c r="J5" i="8" s="1"/>
  <c r="L15" i="8" s="1"/>
  <c r="J15" i="8" s="1"/>
  <c r="L12" i="8" s="1"/>
  <c r="J12" i="8" s="1"/>
  <c r="L44" i="8"/>
  <c r="J44" i="8" s="1"/>
  <c r="L37" i="3" s="1"/>
  <c r="L40" i="8"/>
  <c r="J40" i="8" s="1"/>
  <c r="L19" i="8"/>
  <c r="J19" i="8" s="1"/>
  <c r="L16" i="8"/>
  <c r="J16" i="8" s="1"/>
  <c r="L29" i="8"/>
  <c r="J29" i="8" s="1"/>
  <c r="L26" i="8"/>
  <c r="J26" i="8" s="1"/>
  <c r="L4" i="8"/>
  <c r="J4" i="8" s="1"/>
  <c r="L32" i="8"/>
  <c r="J32" i="8" s="1"/>
  <c r="L30" i="8"/>
  <c r="J30" i="8" s="1"/>
  <c r="L28" i="8"/>
  <c r="J28" i="8" s="1"/>
  <c r="L24" i="8"/>
  <c r="J24" i="8" s="1"/>
  <c r="L34" i="3" s="1"/>
  <c r="L18" i="8"/>
  <c r="J18" i="8" s="1"/>
  <c r="L42" i="8"/>
  <c r="J42" i="8" s="1"/>
  <c r="L31" i="8"/>
  <c r="J31" i="8" s="1"/>
  <c r="C11" i="3"/>
  <c r="B11" i="3" s="1"/>
  <c r="E75" i="8"/>
  <c r="C75" i="8" s="1"/>
  <c r="E71" i="8"/>
  <c r="C71" i="8" s="1"/>
  <c r="E40" i="8"/>
  <c r="C40" i="8" s="1"/>
  <c r="E39" i="8"/>
  <c r="C39" i="8" s="1"/>
  <c r="E38" i="8" s="1"/>
  <c r="C38" i="8" s="1"/>
  <c r="E31" i="8"/>
  <c r="C31" i="8" s="1"/>
  <c r="E30" i="8"/>
  <c r="C30" i="8" s="1"/>
  <c r="E29" i="8"/>
  <c r="C29" i="8" s="1"/>
  <c r="E26" i="8"/>
  <c r="C26" i="8" s="1"/>
  <c r="E25" i="8"/>
  <c r="C25" i="8" s="1"/>
  <c r="E15" i="8"/>
  <c r="C15" i="8" s="1"/>
  <c r="L10" i="8"/>
  <c r="J10" i="8" s="1"/>
  <c r="L17" i="8" s="1"/>
  <c r="J17" i="8" s="1"/>
  <c r="L7" i="8"/>
  <c r="J7" i="8" s="1"/>
  <c r="L6" i="8"/>
  <c r="J6" i="8" s="1"/>
  <c r="E72" i="8"/>
  <c r="C72" i="8" s="1"/>
  <c r="L58" i="8"/>
  <c r="J58" i="8" s="1"/>
  <c r="E44" i="8"/>
  <c r="C44" i="8" s="1"/>
  <c r="E43" i="8"/>
  <c r="C43" i="8" s="1"/>
  <c r="E65" i="8" s="1"/>
  <c r="C65" i="8" s="1"/>
  <c r="E42" i="8"/>
  <c r="C42" i="8" s="1"/>
  <c r="E23" i="8"/>
  <c r="C23" i="8" s="1"/>
  <c r="E68" i="8"/>
  <c r="C68" i="8" s="1"/>
  <c r="E52" i="8"/>
  <c r="C52" i="8" s="1"/>
  <c r="E53" i="8" s="1"/>
  <c r="C53" i="8" s="1"/>
  <c r="E48" i="8"/>
  <c r="C48" i="8" s="1"/>
  <c r="E63" i="8"/>
  <c r="C63" i="8" s="1"/>
  <c r="E7" i="8" s="1"/>
  <c r="C7" i="8" s="1"/>
  <c r="E49" i="8"/>
  <c r="C49" i="8" s="1"/>
  <c r="E47" i="8"/>
  <c r="C47" i="8" s="1"/>
  <c r="E34" i="8"/>
  <c r="C34" i="8" s="1"/>
  <c r="E21" i="8"/>
  <c r="C21" i="8" s="1"/>
  <c r="E66" i="8"/>
  <c r="C66" i="8" s="1"/>
  <c r="E62" i="8"/>
  <c r="C62" i="8" s="1"/>
  <c r="E56" i="8" s="1"/>
  <c r="C56" i="8" s="1"/>
  <c r="E50" i="8"/>
  <c r="C50" i="8" s="1"/>
  <c r="I2" i="3"/>
  <c r="I3" i="3"/>
  <c r="I5" i="3"/>
  <c r="G5" i="3"/>
  <c r="G6" i="3"/>
  <c r="B15" i="3"/>
  <c r="C12" i="3"/>
  <c r="B12" i="3" s="1"/>
  <c r="C10" i="3"/>
  <c r="B10" i="3" s="1"/>
  <c r="B21" i="1"/>
  <c r="C14" i="3" l="1"/>
  <c r="B14" i="3" s="1"/>
  <c r="D36" i="3"/>
  <c r="D37" i="3"/>
  <c r="D34" i="3"/>
  <c r="D35" i="3"/>
  <c r="H34" i="3"/>
  <c r="C19" i="3"/>
  <c r="D18" i="3"/>
  <c r="D19" i="3" s="1"/>
  <c r="D20" i="3" s="1"/>
  <c r="D21" i="3" s="1"/>
  <c r="D22" i="3" s="1"/>
  <c r="E45" i="8"/>
  <c r="C45" i="8" s="1"/>
  <c r="E22" i="8"/>
  <c r="C22" i="8" s="1"/>
  <c r="E73" i="8"/>
  <c r="C73" i="8" s="1"/>
  <c r="E51" i="8"/>
  <c r="C51" i="8" s="1"/>
  <c r="L8" i="8"/>
  <c r="J8" i="8" s="1"/>
  <c r="L25" i="8"/>
  <c r="J25" i="8" s="1"/>
  <c r="H36" i="3" s="1"/>
  <c r="J37" i="8"/>
  <c r="E67" i="8"/>
  <c r="C67" i="8" s="1"/>
  <c r="E70" i="8"/>
  <c r="C70" i="8" s="1"/>
  <c r="E69" i="8" s="1"/>
  <c r="C69" i="8" s="1"/>
  <c r="E60" i="8"/>
  <c r="C60" i="8" s="1"/>
  <c r="E61" i="8" s="1"/>
  <c r="C61" i="8" s="1"/>
  <c r="E24" i="8"/>
  <c r="C24" i="8" s="1"/>
  <c r="L11" i="8"/>
  <c r="J11" i="8" s="1"/>
  <c r="L14" i="8" s="1"/>
  <c r="J14" i="8" s="1"/>
  <c r="L9" i="8"/>
  <c r="J9" i="8" s="1"/>
  <c r="E74" i="8"/>
  <c r="C74" i="8" s="1"/>
  <c r="E10" i="8"/>
  <c r="C10" i="8" s="1"/>
  <c r="L3" i="8" s="1"/>
  <c r="J3" i="8" s="1"/>
  <c r="E12" i="8"/>
  <c r="C12" i="8" s="1"/>
  <c r="E64" i="8"/>
  <c r="C64" i="8" s="1"/>
  <c r="L13" i="8"/>
  <c r="J13" i="8" s="1"/>
  <c r="L5" i="3"/>
  <c r="L3" i="3"/>
  <c r="B21" i="3"/>
  <c r="B18" i="3"/>
  <c r="B22" i="3"/>
  <c r="B20" i="3"/>
  <c r="B19" i="3"/>
  <c r="C20" i="3" l="1"/>
  <c r="C21" i="3"/>
  <c r="C22" i="3"/>
  <c r="C18" i="3"/>
  <c r="B17" i="1"/>
  <c r="B13" i="1"/>
  <c r="B16" i="1"/>
  <c r="B15" i="1"/>
  <c r="B14" i="1"/>
</calcChain>
</file>

<file path=xl/sharedStrings.xml><?xml version="1.0" encoding="utf-8"?>
<sst xmlns="http://schemas.openxmlformats.org/spreadsheetml/2006/main" count="1798" uniqueCount="520">
  <si>
    <t>ST</t>
  </si>
  <si>
    <t>DX</t>
  </si>
  <si>
    <t>IQ</t>
  </si>
  <si>
    <t>HT</t>
  </si>
  <si>
    <t>Will</t>
  </si>
  <si>
    <t>Per</t>
  </si>
  <si>
    <t>Cost</t>
  </si>
  <si>
    <t>Type</t>
  </si>
  <si>
    <t>Item</t>
  </si>
  <si>
    <t>Speciality</t>
  </si>
  <si>
    <t>Attributes</t>
  </si>
  <si>
    <t>Strength (ST)</t>
  </si>
  <si>
    <t>Dexterity (DX)</t>
  </si>
  <si>
    <t>Intelligence (IQ)</t>
  </si>
  <si>
    <t>Health (HT)</t>
  </si>
  <si>
    <t>Increase</t>
  </si>
  <si>
    <t>Hit Points (HP)</t>
  </si>
  <si>
    <t>Perception (Per)</t>
  </si>
  <si>
    <t>Fatigue Points (FP)</t>
  </si>
  <si>
    <t>Base Level</t>
  </si>
  <si>
    <t>Basic Speed</t>
  </si>
  <si>
    <t>(HT+DX)/4</t>
  </si>
  <si>
    <t>Basic Move</t>
  </si>
  <si>
    <t>rounddown(Basic Speed)</t>
  </si>
  <si>
    <t>Base</t>
  </si>
  <si>
    <t>Basic Lift</t>
  </si>
  <si>
    <t>Encumberence (None)</t>
  </si>
  <si>
    <t>Encumberence (Light, -1)</t>
  </si>
  <si>
    <t>Encumberence (Heavy, -3)</t>
  </si>
  <si>
    <t>Encumberence (Medium, -2)</t>
  </si>
  <si>
    <t>Encumberence (Extra-Heavy, -4)</t>
  </si>
  <si>
    <t>Skill</t>
  </si>
  <si>
    <t>Rating</t>
  </si>
  <si>
    <t>Stat</t>
  </si>
  <si>
    <t>Difficulty</t>
  </si>
  <si>
    <t>Points</t>
  </si>
  <si>
    <t>Easy</t>
  </si>
  <si>
    <t>Hard</t>
  </si>
  <si>
    <t>VH</t>
  </si>
  <si>
    <t>H</t>
  </si>
  <si>
    <t>A</t>
  </si>
  <si>
    <t>E</t>
  </si>
  <si>
    <t>Avg</t>
  </si>
  <si>
    <t>V-Hard</t>
  </si>
  <si>
    <t>Adjustment</t>
  </si>
  <si>
    <t>Skill Points</t>
  </si>
  <si>
    <t>Default</t>
  </si>
  <si>
    <t>Acrobatics</t>
  </si>
  <si>
    <t>Acting</t>
  </si>
  <si>
    <t>Attribute</t>
  </si>
  <si>
    <t>Page</t>
  </si>
  <si>
    <t>Category</t>
  </si>
  <si>
    <t>Athletic</t>
  </si>
  <si>
    <t>Social</t>
  </si>
  <si>
    <t>Vehicle</t>
  </si>
  <si>
    <t>Knowledge</t>
  </si>
  <si>
    <t>Axe/Mace</t>
  </si>
  <si>
    <t>Blind Fighting</t>
  </si>
  <si>
    <t>Blowpipe</t>
  </si>
  <si>
    <t>Body Control</t>
  </si>
  <si>
    <t>Body Sense</t>
  </si>
  <si>
    <t>Bolas</t>
  </si>
  <si>
    <t>Bow</t>
  </si>
  <si>
    <t>Boxing</t>
  </si>
  <si>
    <t>Brawling</t>
  </si>
  <si>
    <t>Breaking Blow</t>
  </si>
  <si>
    <t>Broadsword</t>
  </si>
  <si>
    <t>Camouflage</t>
  </si>
  <si>
    <t>Captivate</t>
  </si>
  <si>
    <t>Climbing</t>
  </si>
  <si>
    <t>Cloak</t>
  </si>
  <si>
    <t>Cooking</t>
  </si>
  <si>
    <t>Crossbow</t>
  </si>
  <si>
    <t>Dancing</t>
  </si>
  <si>
    <t>Detect Lies</t>
  </si>
  <si>
    <t>Medical</t>
  </si>
  <si>
    <t>Diplomacy</t>
  </si>
  <si>
    <t>Escape</t>
  </si>
  <si>
    <t>Fast-Talk</t>
  </si>
  <si>
    <t>Filch</t>
  </si>
  <si>
    <t>Fishing</t>
  </si>
  <si>
    <t>Flail</t>
  </si>
  <si>
    <t>Gambling</t>
  </si>
  <si>
    <t>Gardening</t>
  </si>
  <si>
    <t>Garrote</t>
  </si>
  <si>
    <t>Gesture</t>
  </si>
  <si>
    <t>Holdout</t>
  </si>
  <si>
    <t>Interrogation</t>
  </si>
  <si>
    <t>Intimidation</t>
  </si>
  <si>
    <t>Jitte/Sai</t>
  </si>
  <si>
    <t>Judo</t>
  </si>
  <si>
    <t>Jumping</t>
  </si>
  <si>
    <t>Karate</t>
  </si>
  <si>
    <t>Knife</t>
  </si>
  <si>
    <t>Lance</t>
  </si>
  <si>
    <t>Lasso</t>
  </si>
  <si>
    <t>Leadership</t>
  </si>
  <si>
    <t>Leatherworking</t>
  </si>
  <si>
    <t>Lifting</t>
  </si>
  <si>
    <t>Linguistics</t>
  </si>
  <si>
    <t>Lip Reading</t>
  </si>
  <si>
    <t>Main-Gauche</t>
  </si>
  <si>
    <t>Meditation</t>
  </si>
  <si>
    <t>Merchant</t>
  </si>
  <si>
    <t>Mind Block</t>
  </si>
  <si>
    <t>Net</t>
  </si>
  <si>
    <t>Observation</t>
  </si>
  <si>
    <t>Parry Missile Weapons</t>
  </si>
  <si>
    <t>Pickpocket</t>
  </si>
  <si>
    <t>Polearm</t>
  </si>
  <si>
    <t>Power Blow</t>
  </si>
  <si>
    <t>Pressure Points</t>
  </si>
  <si>
    <t>Public Speaking</t>
  </si>
  <si>
    <t>Push</t>
  </si>
  <si>
    <t>Rapier</t>
  </si>
  <si>
    <t>Running</t>
  </si>
  <si>
    <t>Saber</t>
  </si>
  <si>
    <t>Scrounging</t>
  </si>
  <si>
    <t>Search</t>
  </si>
  <si>
    <t>Shadowing</t>
  </si>
  <si>
    <t>Shortsword</t>
  </si>
  <si>
    <t>Singing</t>
  </si>
  <si>
    <t>Skiing</t>
  </si>
  <si>
    <t>Sleight of Hand</t>
  </si>
  <si>
    <t>Sling</t>
  </si>
  <si>
    <t>Smallsword</t>
  </si>
  <si>
    <t>Spear</t>
  </si>
  <si>
    <t>Spear Thrower</t>
  </si>
  <si>
    <t>Staff</t>
  </si>
  <si>
    <t>Stealth</t>
  </si>
  <si>
    <t>Streetwise</t>
  </si>
  <si>
    <t>Swimming</t>
  </si>
  <si>
    <t>Throwing</t>
  </si>
  <si>
    <t>Tonfa</t>
  </si>
  <si>
    <t>Tracking</t>
  </si>
  <si>
    <t>Two-Handed Axe/Mace</t>
  </si>
  <si>
    <t>Two-Handed Flail</t>
  </si>
  <si>
    <t>Two-Handed Sword</t>
  </si>
  <si>
    <t>Weather Sense</t>
  </si>
  <si>
    <t>Whip</t>
  </si>
  <si>
    <t>Wrestling</t>
  </si>
  <si>
    <t>Cartography</t>
  </si>
  <si>
    <t>Diagnosis</t>
  </si>
  <si>
    <t>First Aid</t>
  </si>
  <si>
    <t>Forgery</t>
  </si>
  <si>
    <t>Lockpicking</t>
  </si>
  <si>
    <t>Surgery</t>
  </si>
  <si>
    <t>Traps</t>
  </si>
  <si>
    <t>Area Knowledge</t>
  </si>
  <si>
    <t>Speciality/Notes</t>
  </si>
  <si>
    <t>Animal Handling</t>
  </si>
  <si>
    <t>Boating</t>
  </si>
  <si>
    <t>Disguise</t>
  </si>
  <si>
    <t>Explosives</t>
  </si>
  <si>
    <t>Fast-Draw</t>
  </si>
  <si>
    <t>Gunner</t>
  </si>
  <si>
    <t>Guns</t>
  </si>
  <si>
    <t>Mimicry</t>
  </si>
  <si>
    <t>Musical Instrument</t>
  </si>
  <si>
    <t>Navigation</t>
  </si>
  <si>
    <t>Riding</t>
  </si>
  <si>
    <t>Shield</t>
  </si>
  <si>
    <t>Shiphandling</t>
  </si>
  <si>
    <t>Survival</t>
  </si>
  <si>
    <t>Thrown Weapon</t>
  </si>
  <si>
    <t>Armorsmithing</t>
  </si>
  <si>
    <t>Crafting</t>
  </si>
  <si>
    <t>Weaponsmithing</t>
  </si>
  <si>
    <t>Woodworking</t>
  </si>
  <si>
    <t>Combat</t>
  </si>
  <si>
    <t>Weapon</t>
  </si>
  <si>
    <t>Prerequisite</t>
  </si>
  <si>
    <t>Trained by a Master</t>
  </si>
  <si>
    <t>Self-Control</t>
  </si>
  <si>
    <t>Rope Use</t>
  </si>
  <si>
    <t>Jewelcrafting</t>
  </si>
  <si>
    <t>Stoneworking</t>
  </si>
  <si>
    <t>Lore - Demons</t>
  </si>
  <si>
    <t>Lore - Faerie and Fay</t>
  </si>
  <si>
    <t>Lore - Spirit</t>
  </si>
  <si>
    <t>Lore - Heraldry</t>
  </si>
  <si>
    <t>Lore - Geography</t>
  </si>
  <si>
    <t>Lore - History</t>
  </si>
  <si>
    <t>Lore - Theology</t>
  </si>
  <si>
    <t>Lore - Thaumatology</t>
  </si>
  <si>
    <t>Lore - Geology</t>
  </si>
  <si>
    <t>Lore - Naturalist</t>
  </si>
  <si>
    <t>Lore - Law and Politics</t>
  </si>
  <si>
    <t>Lore - Herbs, Plants, and Poisons</t>
  </si>
  <si>
    <t>Lore - Alchemy</t>
  </si>
  <si>
    <t>Lore - Current Affairs</t>
  </si>
  <si>
    <t>Perform</t>
  </si>
  <si>
    <t>-</t>
  </si>
  <si>
    <t>Lore - Engineering</t>
  </si>
  <si>
    <t>Guns - Musket</t>
  </si>
  <si>
    <t>Guns - Pistol</t>
  </si>
  <si>
    <t>Guns - Rifle</t>
  </si>
  <si>
    <t>Guns - Shot</t>
  </si>
  <si>
    <t>Surgery *</t>
  </si>
  <si>
    <t>Lance *</t>
  </si>
  <si>
    <t>Weapon Training</t>
  </si>
  <si>
    <t>Stealth Training</t>
  </si>
  <si>
    <t>Social Interactions</t>
  </si>
  <si>
    <t>Combat Maneuvers</t>
  </si>
  <si>
    <t>Athletic Skills</t>
  </si>
  <si>
    <t>Misc</t>
  </si>
  <si>
    <t>Musical Instruments</t>
  </si>
  <si>
    <t>Club/Tonfa</t>
  </si>
  <si>
    <t>Statistic</t>
  </si>
  <si>
    <t>Blind Fighting +</t>
  </si>
  <si>
    <t>Breaking Blow +</t>
  </si>
  <si>
    <t>Power Blow +</t>
  </si>
  <si>
    <t>Pressure Points +</t>
  </si>
  <si>
    <t>Push +</t>
  </si>
  <si>
    <t>Body Control +</t>
  </si>
  <si>
    <t>Skills and Training</t>
  </si>
  <si>
    <t>Character Name:</t>
  </si>
  <si>
    <t>Player Name:</t>
  </si>
  <si>
    <t>Height:</t>
  </si>
  <si>
    <t>Weight:</t>
  </si>
  <si>
    <t>Size Mod:</t>
  </si>
  <si>
    <t>Age:</t>
  </si>
  <si>
    <t>DeXterity</t>
  </si>
  <si>
    <t>HealTh</t>
  </si>
  <si>
    <t>STrength</t>
  </si>
  <si>
    <t>Hit Points</t>
  </si>
  <si>
    <t>Fatigue</t>
  </si>
  <si>
    <t>Intelligence</t>
  </si>
  <si>
    <t>Perception</t>
  </si>
  <si>
    <t>None (0)</t>
  </si>
  <si>
    <t>Light (1)</t>
  </si>
  <si>
    <t>Medium (2)</t>
  </si>
  <si>
    <t>Heavy (3)</t>
  </si>
  <si>
    <t>X-Heavy (4)</t>
  </si>
  <si>
    <t>Limit</t>
  </si>
  <si>
    <t>Move</t>
  </si>
  <si>
    <t>Dodge</t>
  </si>
  <si>
    <t>Encumberence:</t>
  </si>
  <si>
    <t>Damage</t>
  </si>
  <si>
    <t>Reach</t>
  </si>
  <si>
    <t>Parry</t>
  </si>
  <si>
    <t>Thrust</t>
  </si>
  <si>
    <t>Swing</t>
  </si>
  <si>
    <t>1d-6</t>
  </si>
  <si>
    <t>1d-5</t>
  </si>
  <si>
    <t>3d-1</t>
  </si>
  <si>
    <t>5d+1</t>
  </si>
  <si>
    <t>1d-4</t>
  </si>
  <si>
    <t>3d</t>
  </si>
  <si>
    <t>5d+2</t>
  </si>
  <si>
    <t>1d-3</t>
  </si>
  <si>
    <t>3d+1</t>
  </si>
  <si>
    <t>6d-1</t>
  </si>
  <si>
    <t>1d-2</t>
  </si>
  <si>
    <t>3d+2</t>
  </si>
  <si>
    <t>6d</t>
  </si>
  <si>
    <t>1d-1</t>
  </si>
  <si>
    <t>4d-1</t>
  </si>
  <si>
    <t>6d+1</t>
  </si>
  <si>
    <t>1d</t>
  </si>
  <si>
    <t>1d+1</t>
  </si>
  <si>
    <t>4d</t>
  </si>
  <si>
    <t>6d+2</t>
  </si>
  <si>
    <t>1d+2</t>
  </si>
  <si>
    <t>2d-1</t>
  </si>
  <si>
    <t>4d+1</t>
  </si>
  <si>
    <t>7d-1</t>
  </si>
  <si>
    <t>2d</t>
  </si>
  <si>
    <t>2d+1</t>
  </si>
  <si>
    <t>5d</t>
  </si>
  <si>
    <t>7d+1</t>
  </si>
  <si>
    <t>2d+2</t>
  </si>
  <si>
    <t>8d-1</t>
  </si>
  <si>
    <t>8d+1</t>
  </si>
  <si>
    <t>9d</t>
  </si>
  <si>
    <t>9d+2</t>
  </si>
  <si>
    <t>8d</t>
  </si>
  <si>
    <t>10d</t>
  </si>
  <si>
    <t>8d+2</t>
  </si>
  <si>
    <t>10d+2</t>
  </si>
  <si>
    <t>11d</t>
  </si>
  <si>
    <t>11d+2</t>
  </si>
  <si>
    <t>4d+2</t>
  </si>
  <si>
    <t>12d</t>
  </si>
  <si>
    <t>5d-1</t>
  </si>
  <si>
    <t>12d+2</t>
  </si>
  <si>
    <t>13d</t>
  </si>
  <si>
    <t>Base Damage Ratings</t>
  </si>
  <si>
    <t>None</t>
  </si>
  <si>
    <t>Effects</t>
  </si>
  <si>
    <t>1/2 Move, Dodge</t>
  </si>
  <si>
    <t>Will Roll, HP loss</t>
  </si>
  <si>
    <t>Unconscious</t>
  </si>
  <si>
    <t>HT Roll or die</t>
  </si>
  <si>
    <t>HT Roll or Collapse</t>
  </si>
  <si>
    <t>Range</t>
  </si>
  <si>
    <t>RoF</t>
  </si>
  <si>
    <t>Acc</t>
  </si>
  <si>
    <t>Lore - Regional</t>
  </si>
  <si>
    <t>Trait</t>
  </si>
  <si>
    <t>Mental/Physical/Social</t>
  </si>
  <si>
    <t>Physical</t>
  </si>
  <si>
    <t>Exotic</t>
  </si>
  <si>
    <t>Mundane</t>
  </si>
  <si>
    <t>Absolute Direction</t>
  </si>
  <si>
    <t>Mental</t>
  </si>
  <si>
    <t>Cinematic</t>
  </si>
  <si>
    <t>Acute Hearing</t>
  </si>
  <si>
    <t>2/level</t>
  </si>
  <si>
    <t>Acute Taste and Smell</t>
  </si>
  <si>
    <t>Acute Touch</t>
  </si>
  <si>
    <t>Acute Vision</t>
  </si>
  <si>
    <t>10/level</t>
  </si>
  <si>
    <t>Variable</t>
  </si>
  <si>
    <t>Ambidexterity</t>
  </si>
  <si>
    <t>Animal Empathy</t>
  </si>
  <si>
    <t>5/level</t>
  </si>
  <si>
    <t>Supernatural</t>
  </si>
  <si>
    <t>Catfall</t>
  </si>
  <si>
    <t>Charisma</t>
  </si>
  <si>
    <t>Clerical Investment</t>
  </si>
  <si>
    <t>Combat Reflexes</t>
  </si>
  <si>
    <t>Common Sense</t>
  </si>
  <si>
    <t>1/level</t>
  </si>
  <si>
    <t>Damage Resistance</t>
  </si>
  <si>
    <t>Danger Sense</t>
  </si>
  <si>
    <t>Daredevil</t>
  </si>
  <si>
    <t>Dark Vision</t>
  </si>
  <si>
    <t>Mental/Physical</t>
  </si>
  <si>
    <t>Eidetic Memory</t>
  </si>
  <si>
    <t>Empathy</t>
  </si>
  <si>
    <t>Extended Lifespan</t>
  </si>
  <si>
    <t>Fearlessness</t>
  </si>
  <si>
    <t>Fit</t>
  </si>
  <si>
    <t>Flexibility</t>
  </si>
  <si>
    <t>Green Thumb</t>
  </si>
  <si>
    <t>Hard to Kill</t>
  </si>
  <si>
    <t>Hard to Subdue</t>
  </si>
  <si>
    <t>Healer</t>
  </si>
  <si>
    <t>High Manual Dexterity</t>
  </si>
  <si>
    <t>High Pain Threshold</t>
  </si>
  <si>
    <t>Infravision</t>
  </si>
  <si>
    <t>Less Sleep</t>
  </si>
  <si>
    <t>Lightning Calculator</t>
  </si>
  <si>
    <t>Longevity</t>
  </si>
  <si>
    <t>Luck</t>
  </si>
  <si>
    <t>Magery</t>
  </si>
  <si>
    <t>Magic Resistance</t>
  </si>
  <si>
    <t>Night Vision</t>
  </si>
  <si>
    <t>Perfect Balance</t>
  </si>
  <si>
    <t>Power Investiture</t>
  </si>
  <si>
    <t>Social Chameleon</t>
  </si>
  <si>
    <t>Trained By A Master</t>
  </si>
  <si>
    <t>True Faith</t>
  </si>
  <si>
    <t>Unfazeable</t>
  </si>
  <si>
    <t>Voice</t>
  </si>
  <si>
    <t>Absent-Mindedness</t>
  </si>
  <si>
    <t>Addiction</t>
  </si>
  <si>
    <t>122, 164, 165</t>
  </si>
  <si>
    <t>Alcoholism</t>
  </si>
  <si>
    <t>Bad Back</t>
  </si>
  <si>
    <t>Bad Grip</t>
  </si>
  <si>
    <t>Bad Sight</t>
  </si>
  <si>
    <t>Bad Smell</t>
  </si>
  <si>
    <t>Bad Temper</t>
  </si>
  <si>
    <t>-10*</t>
  </si>
  <si>
    <t>Blindness</t>
  </si>
  <si>
    <t>Bloodlust</t>
  </si>
  <si>
    <t>Bully</t>
  </si>
  <si>
    <t>Callous</t>
  </si>
  <si>
    <t>Cannot Speak</t>
  </si>
  <si>
    <t>Charitable</t>
  </si>
  <si>
    <t>-15*</t>
  </si>
  <si>
    <t>Chronic Pain</t>
  </si>
  <si>
    <t>Chummy</t>
  </si>
  <si>
    <t>Clueless</t>
  </si>
  <si>
    <t>Code of Honor</t>
  </si>
  <si>
    <t>127, 163</t>
  </si>
  <si>
    <t>Colorblindness</t>
  </si>
  <si>
    <t>Combat Paralysis</t>
  </si>
  <si>
    <t>Compulsive Behavior</t>
  </si>
  <si>
    <t>Cowardice</t>
  </si>
  <si>
    <t>Curious</t>
  </si>
  <si>
    <t>-5*</t>
  </si>
  <si>
    <t>Deafness</t>
  </si>
  <si>
    <t>Disciplines of Faith</t>
  </si>
  <si>
    <t>Duty</t>
  </si>
  <si>
    <t>Easy to Kill</t>
  </si>
  <si>
    <t>-2/level</t>
  </si>
  <si>
    <t>Easy to Read</t>
  </si>
  <si>
    <t>Epilepsy</t>
  </si>
  <si>
    <t>Extra Sleep</t>
  </si>
  <si>
    <t>Fearfulness</t>
  </si>
  <si>
    <t>Gluttony</t>
  </si>
  <si>
    <t>Greed</t>
  </si>
  <si>
    <t>Gullibility</t>
  </si>
  <si>
    <t>Ham-Fisted</t>
  </si>
  <si>
    <t>Hard of Hearing</t>
  </si>
  <si>
    <t>Hemophilia</t>
  </si>
  <si>
    <t>Honesty</t>
  </si>
  <si>
    <t>Impulsiveness</t>
  </si>
  <si>
    <t>Insomniac</t>
  </si>
  <si>
    <t>Kleptomania</t>
  </si>
  <si>
    <t>Light Sleeper</t>
  </si>
  <si>
    <t>Low Pain Threshold</t>
  </si>
  <si>
    <t>Magic Susceptibility</t>
  </si>
  <si>
    <t>-3/level</t>
  </si>
  <si>
    <t>Miserliness</t>
  </si>
  <si>
    <t>Missing Digit</t>
  </si>
  <si>
    <t>Motion Sickness</t>
  </si>
  <si>
    <t>Neurological Disorder</t>
  </si>
  <si>
    <t>Night Blindness</t>
  </si>
  <si>
    <t>Nightmares</t>
  </si>
  <si>
    <t>No Depth Perception</t>
  </si>
  <si>
    <t>No Sense of Smell/Taste</t>
  </si>
  <si>
    <t>Oblivious</t>
  </si>
  <si>
    <t>One Arm</t>
  </si>
  <si>
    <t>One Eye</t>
  </si>
  <si>
    <t>One Hand</t>
  </si>
  <si>
    <t>Overconfidence</t>
  </si>
  <si>
    <t>Pacifism</t>
  </si>
  <si>
    <t>Phobias</t>
  </si>
  <si>
    <t>Post-Combat Shakes</t>
  </si>
  <si>
    <t>Pyromania</t>
  </si>
  <si>
    <t>Restricted Vision</t>
  </si>
  <si>
    <t>Selfish</t>
  </si>
  <si>
    <t>Selfless</t>
  </si>
  <si>
    <t>Short Attention Span</t>
  </si>
  <si>
    <t>Sleepwalker</t>
  </si>
  <si>
    <t>Slow Healing</t>
  </si>
  <si>
    <t>Slow Riser</t>
  </si>
  <si>
    <t>Social Stigma</t>
  </si>
  <si>
    <t>Squeamish</t>
  </si>
  <si>
    <t>Stubbornness</t>
  </si>
  <si>
    <t>Truthfulness</t>
  </si>
  <si>
    <t>Unfit</t>
  </si>
  <si>
    <t>Unluckiness</t>
  </si>
  <si>
    <t>Vow</t>
  </si>
  <si>
    <t>160, 165</t>
  </si>
  <si>
    <t>Empathy (Sensitive)</t>
  </si>
  <si>
    <t>Enhanced Block</t>
  </si>
  <si>
    <t>Enhanced Dodge</t>
  </si>
  <si>
    <t>Enhanced Parry</t>
  </si>
  <si>
    <t>Restricted</t>
  </si>
  <si>
    <t>x</t>
  </si>
  <si>
    <t>5+10/lvl</t>
  </si>
  <si>
    <t>Advantages</t>
  </si>
  <si>
    <t>Disadvantages</t>
  </si>
  <si>
    <t>Bad Temper *</t>
  </si>
  <si>
    <t>Bloodlust *</t>
  </si>
  <si>
    <t>Bully *</t>
  </si>
  <si>
    <t>Charitable *</t>
  </si>
  <si>
    <t>Compulsive Behavior *</t>
  </si>
  <si>
    <t>Cowardice *</t>
  </si>
  <si>
    <t>Curious *</t>
  </si>
  <si>
    <t>Gluttony *</t>
  </si>
  <si>
    <t>Greed *</t>
  </si>
  <si>
    <t>Gullibility *</t>
  </si>
  <si>
    <t>Honesty *</t>
  </si>
  <si>
    <t>Impulsiveness *</t>
  </si>
  <si>
    <t>Kleptomania *</t>
  </si>
  <si>
    <t>Miserliness *</t>
  </si>
  <si>
    <t>Nightmares *</t>
  </si>
  <si>
    <t>Overconfidence *</t>
  </si>
  <si>
    <t>Post-Combat Shakes *</t>
  </si>
  <si>
    <t>Pyromania *</t>
  </si>
  <si>
    <t>Selfish *</t>
  </si>
  <si>
    <t>Selfless *</t>
  </si>
  <si>
    <t>Short Attention Span *</t>
  </si>
  <si>
    <t>Sleepwalker *</t>
  </si>
  <si>
    <t>Squeamish *</t>
  </si>
  <si>
    <t>Truthfulness *</t>
  </si>
  <si>
    <t>Weight</t>
  </si>
  <si>
    <t>ST min</t>
  </si>
  <si>
    <t>Notes</t>
  </si>
  <si>
    <t>Point Balance</t>
  </si>
  <si>
    <t>Starting Value</t>
  </si>
  <si>
    <t>Experience</t>
  </si>
  <si>
    <t>Skills</t>
  </si>
  <si>
    <t>Magic</t>
  </si>
  <si>
    <t>Other</t>
  </si>
  <si>
    <t>Remaining Balance</t>
  </si>
  <si>
    <t>Disadvantages (Max -40)</t>
  </si>
  <si>
    <t>Quirks (Max -5)</t>
  </si>
  <si>
    <t>Secondary Attributes</t>
  </si>
  <si>
    <t>Quirks</t>
  </si>
  <si>
    <t>Speed/Range</t>
  </si>
  <si>
    <t>&lt; 2</t>
  </si>
  <si>
    <t>Location</t>
  </si>
  <si>
    <t>Skull</t>
  </si>
  <si>
    <t>Face</t>
  </si>
  <si>
    <t>Neck</t>
  </si>
  <si>
    <t>Eyes</t>
  </si>
  <si>
    <t>Torso</t>
  </si>
  <si>
    <t>Groin</t>
  </si>
  <si>
    <t>Modifier</t>
  </si>
  <si>
    <t>DR</t>
  </si>
  <si>
    <t>Armor</t>
  </si>
  <si>
    <t>Vitals</t>
  </si>
  <si>
    <t>Random</t>
  </si>
  <si>
    <t>Right Leg</t>
  </si>
  <si>
    <t>Right Arm</t>
  </si>
  <si>
    <t>Left Arm</t>
  </si>
  <si>
    <t>Left Leg</t>
  </si>
  <si>
    <t>Hand</t>
  </si>
  <si>
    <t>Foot</t>
  </si>
  <si>
    <t>3-4</t>
  </si>
  <si>
    <t>6-7</t>
  </si>
  <si>
    <t>9-10</t>
  </si>
  <si>
    <t>13-14</t>
  </si>
  <si>
    <t>17-18</t>
  </si>
  <si>
    <t>GURPs</t>
  </si>
  <si>
    <t>Hit locations and Defense Rating</t>
  </si>
  <si>
    <t>Block</t>
  </si>
  <si>
    <t>No Load</t>
  </si>
  <si>
    <t>Light Load</t>
  </si>
  <si>
    <t>Medium Load</t>
  </si>
  <si>
    <t>Heavy Load</t>
  </si>
  <si>
    <t>Dagger</t>
  </si>
  <si>
    <t>Version 1.0
12/24/2017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</si>
</sst>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MagicMedieval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/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1" fillId="0" borderId="0" xfId="0" applyFont="1" applyAlignment="1">
      <alignment textRotation="90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quotePrefix="1"/>
    <xf numFmtId="0" fontId="1" fillId="0" borderId="0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quotePrefix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74EF-E6B9-405E-96C7-D062356D2E56}">
  <sheetPr>
    <pageSetUpPr fitToPage="1"/>
  </sheetPr>
  <dimension ref="A1:N95"/>
  <sheetViews>
    <sheetView tabSelected="1" workbookViewId="0">
      <selection activeCell="D7" sqref="D7"/>
    </sheetView>
  </sheetViews>
  <sheetFormatPr defaultRowHeight="15" x14ac:dyDescent="0.25"/>
  <cols>
    <col min="1" max="1" width="11.5703125" customWidth="1"/>
  </cols>
  <sheetData>
    <row r="1" spans="1:14" x14ac:dyDescent="0.25">
      <c r="A1" s="100" t="s">
        <v>216</v>
      </c>
      <c r="B1" s="91"/>
      <c r="C1" s="101"/>
      <c r="D1" s="101"/>
      <c r="E1" s="101"/>
      <c r="F1" s="101"/>
      <c r="G1" s="101"/>
      <c r="H1" s="102"/>
      <c r="I1" s="26" t="s">
        <v>225</v>
      </c>
      <c r="J1" s="91" t="s">
        <v>289</v>
      </c>
      <c r="K1" s="92"/>
      <c r="L1" s="36" t="s">
        <v>226</v>
      </c>
      <c r="M1" s="91" t="s">
        <v>289</v>
      </c>
      <c r="N1" s="92"/>
    </row>
    <row r="2" spans="1:14" x14ac:dyDescent="0.25">
      <c r="A2" s="118" t="s">
        <v>217</v>
      </c>
      <c r="B2" s="119"/>
      <c r="C2" s="116"/>
      <c r="D2" s="116"/>
      <c r="E2" s="116"/>
      <c r="F2" s="116"/>
      <c r="G2" s="116"/>
      <c r="H2" s="117"/>
      <c r="I2" s="38">
        <f>HP</f>
        <v>10</v>
      </c>
      <c r="J2" s="88" t="s">
        <v>288</v>
      </c>
      <c r="K2" s="93"/>
      <c r="L2" s="37">
        <f>HP</f>
        <v>10</v>
      </c>
      <c r="M2" s="88" t="s">
        <v>288</v>
      </c>
      <c r="N2" s="93"/>
    </row>
    <row r="3" spans="1:14" ht="15.75" thickBot="1" x14ac:dyDescent="0.3">
      <c r="A3" s="13" t="s">
        <v>218</v>
      </c>
      <c r="B3" s="16"/>
      <c r="C3" s="11" t="s">
        <v>219</v>
      </c>
      <c r="D3" s="16"/>
      <c r="E3" s="11" t="s">
        <v>220</v>
      </c>
      <c r="F3" s="16"/>
      <c r="G3" s="11" t="s">
        <v>221</v>
      </c>
      <c r="H3" s="19"/>
      <c r="I3" s="38">
        <f>ROUND(HP/3,0)</f>
        <v>3</v>
      </c>
      <c r="J3" s="94" t="s">
        <v>290</v>
      </c>
      <c r="K3" s="120"/>
      <c r="L3" s="38">
        <f>ROUND(FP/3,0)</f>
        <v>3</v>
      </c>
      <c r="M3" s="94" t="s">
        <v>290</v>
      </c>
      <c r="N3" s="93"/>
    </row>
    <row r="4" spans="1:14" x14ac:dyDescent="0.25">
      <c r="A4" s="20"/>
      <c r="B4" s="21" t="s">
        <v>32</v>
      </c>
      <c r="C4" s="21" t="s">
        <v>24</v>
      </c>
      <c r="D4" s="21" t="s">
        <v>15</v>
      </c>
      <c r="E4" s="22" t="s">
        <v>6</v>
      </c>
      <c r="F4" s="113" t="s">
        <v>287</v>
      </c>
      <c r="G4" s="114"/>
      <c r="H4" s="115"/>
      <c r="I4" s="38">
        <v>0</v>
      </c>
      <c r="J4" s="88" t="s">
        <v>294</v>
      </c>
      <c r="K4" s="93"/>
      <c r="L4" s="38">
        <v>0</v>
      </c>
      <c r="M4" s="88" t="s">
        <v>291</v>
      </c>
      <c r="N4" s="93"/>
    </row>
    <row r="5" spans="1:14" ht="15.75" thickBot="1" x14ac:dyDescent="0.3">
      <c r="A5" s="23" t="s">
        <v>224</v>
      </c>
      <c r="B5" s="15">
        <f t="shared" ref="B5:B14" si="0">C5+D5</f>
        <v>10</v>
      </c>
      <c r="C5" s="15">
        <v>10</v>
      </c>
      <c r="D5" s="15">
        <v>0</v>
      </c>
      <c r="E5" s="24">
        <f>D5*10</f>
        <v>0</v>
      </c>
      <c r="F5" s="23" t="s">
        <v>241</v>
      </c>
      <c r="G5" s="116" t="str">
        <f>VLOOKUP(ST,Damage_Table,2,TRUE)</f>
        <v>1d-2</v>
      </c>
      <c r="H5" s="117"/>
      <c r="I5" s="39">
        <f>-HP</f>
        <v>-10</v>
      </c>
      <c r="J5" s="90" t="s">
        <v>293</v>
      </c>
      <c r="K5" s="103"/>
      <c r="L5" s="39">
        <f>-FP</f>
        <v>-10</v>
      </c>
      <c r="M5" s="16" t="s">
        <v>292</v>
      </c>
      <c r="N5" s="19"/>
    </row>
    <row r="6" spans="1:14" x14ac:dyDescent="0.25">
      <c r="A6" s="23" t="s">
        <v>222</v>
      </c>
      <c r="B6" s="15">
        <f t="shared" si="0"/>
        <v>10</v>
      </c>
      <c r="C6" s="15">
        <v>10</v>
      </c>
      <c r="D6" s="15">
        <v>0</v>
      </c>
      <c r="E6" s="24">
        <f>D6*20</f>
        <v>0</v>
      </c>
      <c r="F6" s="23" t="s">
        <v>242</v>
      </c>
      <c r="G6" s="116" t="str">
        <f>VLOOKUP(ST,Damage_Table,3,TRUE)</f>
        <v>1d</v>
      </c>
      <c r="H6" s="117"/>
      <c r="I6" s="107" t="s">
        <v>511</v>
      </c>
      <c r="J6" s="108"/>
      <c r="K6" s="108"/>
      <c r="L6" s="109"/>
      <c r="M6" s="95" t="s">
        <v>486</v>
      </c>
      <c r="N6" s="97"/>
    </row>
    <row r="7" spans="1:14" ht="15.75" thickBot="1" x14ac:dyDescent="0.3">
      <c r="A7" s="23" t="s">
        <v>227</v>
      </c>
      <c r="B7" s="15">
        <f t="shared" si="0"/>
        <v>10</v>
      </c>
      <c r="C7" s="15">
        <v>10</v>
      </c>
      <c r="D7" s="15">
        <v>0</v>
      </c>
      <c r="E7" s="24">
        <f>D7*20</f>
        <v>0</v>
      </c>
      <c r="F7" s="104"/>
      <c r="G7" s="105"/>
      <c r="H7" s="106"/>
      <c r="I7" s="110"/>
      <c r="J7" s="111"/>
      <c r="K7" s="111"/>
      <c r="L7" s="112"/>
      <c r="M7" s="72">
        <v>0</v>
      </c>
      <c r="N7" s="73" t="s">
        <v>487</v>
      </c>
    </row>
    <row r="8" spans="1:14" ht="15.75" thickBot="1" x14ac:dyDescent="0.3">
      <c r="A8" s="13" t="s">
        <v>223</v>
      </c>
      <c r="B8" s="17">
        <f t="shared" si="0"/>
        <v>10</v>
      </c>
      <c r="C8" s="17">
        <v>10</v>
      </c>
      <c r="D8" s="17">
        <v>0</v>
      </c>
      <c r="E8" s="25">
        <f>D8*10</f>
        <v>0</v>
      </c>
      <c r="F8" s="95" t="s">
        <v>512</v>
      </c>
      <c r="G8" s="96"/>
      <c r="H8" s="96"/>
      <c r="I8" s="96"/>
      <c r="J8" s="96"/>
      <c r="K8" s="96"/>
      <c r="L8" s="97"/>
      <c r="M8" s="74">
        <v>-1</v>
      </c>
      <c r="N8" s="75">
        <v>3</v>
      </c>
    </row>
    <row r="9" spans="1:14" x14ac:dyDescent="0.25">
      <c r="A9" s="26" t="s">
        <v>225</v>
      </c>
      <c r="B9" s="27">
        <f t="shared" si="0"/>
        <v>10</v>
      </c>
      <c r="C9" s="27">
        <f>ST</f>
        <v>10</v>
      </c>
      <c r="D9" s="27">
        <v>0</v>
      </c>
      <c r="E9" s="28">
        <f>D9*2</f>
        <v>0</v>
      </c>
      <c r="F9" s="82" t="s">
        <v>495</v>
      </c>
      <c r="G9" s="56" t="s">
        <v>499</v>
      </c>
      <c r="H9" s="83" t="s">
        <v>488</v>
      </c>
      <c r="I9" s="31" t="s">
        <v>496</v>
      </c>
      <c r="J9" s="119" t="s">
        <v>497</v>
      </c>
      <c r="K9" s="119"/>
      <c r="L9" s="122"/>
      <c r="M9" s="74">
        <v>-2</v>
      </c>
      <c r="N9" s="75">
        <v>5</v>
      </c>
    </row>
    <row r="10" spans="1:14" x14ac:dyDescent="0.25">
      <c r="A10" s="23" t="s">
        <v>4</v>
      </c>
      <c r="B10" s="15">
        <f t="shared" si="0"/>
        <v>10</v>
      </c>
      <c r="C10" s="15">
        <f>IQ</f>
        <v>10</v>
      </c>
      <c r="D10" s="15">
        <v>0</v>
      </c>
      <c r="E10" s="24">
        <f>D10*5</f>
        <v>0</v>
      </c>
      <c r="F10" s="74">
        <v>-9</v>
      </c>
      <c r="G10" s="71" t="s">
        <v>192</v>
      </c>
      <c r="H10" s="14" t="s">
        <v>492</v>
      </c>
      <c r="I10" s="48"/>
      <c r="J10" s="88"/>
      <c r="K10" s="88"/>
      <c r="L10" s="93"/>
      <c r="M10" s="74">
        <v>-3</v>
      </c>
      <c r="N10" s="75">
        <v>7</v>
      </c>
    </row>
    <row r="11" spans="1:14" x14ac:dyDescent="0.25">
      <c r="A11" s="23" t="s">
        <v>228</v>
      </c>
      <c r="B11" s="15">
        <f t="shared" si="0"/>
        <v>10</v>
      </c>
      <c r="C11" s="15">
        <f>IQ</f>
        <v>10</v>
      </c>
      <c r="D11" s="15">
        <v>0</v>
      </c>
      <c r="E11" s="24">
        <f>D11*5</f>
        <v>0</v>
      </c>
      <c r="F11" s="74">
        <v>-7</v>
      </c>
      <c r="G11" s="71" t="s">
        <v>506</v>
      </c>
      <c r="H11" s="14" t="s">
        <v>489</v>
      </c>
      <c r="I11" s="48"/>
      <c r="J11" s="88"/>
      <c r="K11" s="88"/>
      <c r="L11" s="93"/>
      <c r="M11" s="74">
        <v>-4</v>
      </c>
      <c r="N11" s="75">
        <v>10</v>
      </c>
    </row>
    <row r="12" spans="1:14" ht="15.75" thickBot="1" x14ac:dyDescent="0.3">
      <c r="A12" s="13" t="s">
        <v>226</v>
      </c>
      <c r="B12" s="17">
        <f t="shared" si="0"/>
        <v>10</v>
      </c>
      <c r="C12" s="17">
        <f>HT</f>
        <v>10</v>
      </c>
      <c r="D12" s="17">
        <v>0</v>
      </c>
      <c r="E12" s="25">
        <f>D12*3</f>
        <v>0</v>
      </c>
      <c r="F12" s="74">
        <v>-5</v>
      </c>
      <c r="G12" s="70">
        <v>5</v>
      </c>
      <c r="H12" s="14" t="s">
        <v>490</v>
      </c>
      <c r="I12" s="48"/>
      <c r="J12" s="88"/>
      <c r="K12" s="88"/>
      <c r="L12" s="93"/>
      <c r="M12" s="74">
        <v>-5</v>
      </c>
      <c r="N12" s="75">
        <v>15</v>
      </c>
    </row>
    <row r="13" spans="1:14" x14ac:dyDescent="0.25">
      <c r="A13" s="26" t="s">
        <v>20</v>
      </c>
      <c r="B13" s="34">
        <f t="shared" si="0"/>
        <v>5</v>
      </c>
      <c r="C13" s="34">
        <f>(HT+DX)/4</f>
        <v>5</v>
      </c>
      <c r="D13" s="27">
        <v>0</v>
      </c>
      <c r="E13" s="28">
        <f>D13*5*4</f>
        <v>0</v>
      </c>
      <c r="F13" s="74">
        <v>-2</v>
      </c>
      <c r="G13" s="71" t="s">
        <v>507</v>
      </c>
      <c r="H13" s="14" t="s">
        <v>500</v>
      </c>
      <c r="I13" s="48"/>
      <c r="J13" s="88"/>
      <c r="K13" s="88"/>
      <c r="L13" s="93"/>
      <c r="M13" s="74">
        <v>-6</v>
      </c>
      <c r="N13" s="76">
        <v>20</v>
      </c>
    </row>
    <row r="14" spans="1:14" ht="15" customHeight="1" x14ac:dyDescent="0.25">
      <c r="A14" s="23" t="s">
        <v>22</v>
      </c>
      <c r="B14" s="15">
        <f t="shared" si="0"/>
        <v>5</v>
      </c>
      <c r="C14" s="15">
        <f>ROUNDDOWN(Basic_Speed,0)</f>
        <v>5</v>
      </c>
      <c r="D14" s="15">
        <v>0</v>
      </c>
      <c r="E14" s="24">
        <f>5*D14</f>
        <v>0</v>
      </c>
      <c r="F14" s="74">
        <v>-2</v>
      </c>
      <c r="G14" s="70">
        <v>8</v>
      </c>
      <c r="H14" s="14" t="s">
        <v>501</v>
      </c>
      <c r="I14" s="48"/>
      <c r="J14" s="88"/>
      <c r="K14" s="88"/>
      <c r="L14" s="93"/>
      <c r="M14" s="74">
        <v>-7</v>
      </c>
      <c r="N14" s="75">
        <v>30</v>
      </c>
    </row>
    <row r="15" spans="1:14" ht="15" customHeight="1" thickBot="1" x14ac:dyDescent="0.3">
      <c r="A15" s="13" t="s">
        <v>25</v>
      </c>
      <c r="B15" s="17">
        <f>ST*ST/5</f>
        <v>20</v>
      </c>
      <c r="C15" s="17"/>
      <c r="D15" s="17"/>
      <c r="E15" s="25"/>
      <c r="F15" s="80">
        <v>0</v>
      </c>
      <c r="G15" s="71" t="s">
        <v>508</v>
      </c>
      <c r="H15" s="14" t="s">
        <v>493</v>
      </c>
      <c r="I15" s="48"/>
      <c r="J15" s="88"/>
      <c r="K15" s="88"/>
      <c r="L15" s="93"/>
      <c r="M15" s="74">
        <v>-8</v>
      </c>
      <c r="N15" s="75">
        <v>50</v>
      </c>
    </row>
    <row r="16" spans="1:14" ht="15.75" customHeight="1" x14ac:dyDescent="0.25">
      <c r="A16" s="100" t="s">
        <v>237</v>
      </c>
      <c r="B16" s="91"/>
      <c r="C16" s="101"/>
      <c r="D16" s="101"/>
      <c r="E16" s="102"/>
      <c r="F16" s="74">
        <v>-3</v>
      </c>
      <c r="G16" s="70">
        <v>11</v>
      </c>
      <c r="H16" s="14" t="s">
        <v>494</v>
      </c>
      <c r="I16" s="48"/>
      <c r="J16" s="88"/>
      <c r="K16" s="88"/>
      <c r="L16" s="93"/>
      <c r="M16" s="74">
        <v>-9</v>
      </c>
      <c r="N16" s="75">
        <v>70</v>
      </c>
    </row>
    <row r="17" spans="1:14" x14ac:dyDescent="0.25">
      <c r="A17" s="30"/>
      <c r="B17" s="31" t="s">
        <v>234</v>
      </c>
      <c r="C17" s="31" t="s">
        <v>235</v>
      </c>
      <c r="D17" s="31" t="s">
        <v>236</v>
      </c>
      <c r="E17" s="32" t="s">
        <v>226</v>
      </c>
      <c r="F17" s="74">
        <v>-2</v>
      </c>
      <c r="G17" s="70">
        <v>12</v>
      </c>
      <c r="H17" s="14" t="s">
        <v>502</v>
      </c>
      <c r="I17" s="48"/>
      <c r="J17" s="88"/>
      <c r="K17" s="88"/>
      <c r="L17" s="93"/>
      <c r="M17" s="74">
        <v>-10</v>
      </c>
      <c r="N17" s="75">
        <v>100</v>
      </c>
    </row>
    <row r="18" spans="1:14" x14ac:dyDescent="0.25">
      <c r="A18" s="23" t="s">
        <v>229</v>
      </c>
      <c r="B18" s="15">
        <f>Basic_Lift</f>
        <v>20</v>
      </c>
      <c r="C18" s="15">
        <f>Basic_Move</f>
        <v>5</v>
      </c>
      <c r="D18" s="15">
        <f>Basic_Move+3</f>
        <v>8</v>
      </c>
      <c r="E18" s="24">
        <v>1</v>
      </c>
      <c r="F18" s="72">
        <v>-2</v>
      </c>
      <c r="G18" s="69" t="s">
        <v>509</v>
      </c>
      <c r="H18" s="14" t="s">
        <v>503</v>
      </c>
      <c r="I18" s="48"/>
      <c r="J18" s="88"/>
      <c r="K18" s="88"/>
      <c r="L18" s="93"/>
      <c r="M18" s="74">
        <v>-11</v>
      </c>
      <c r="N18" s="75">
        <v>150</v>
      </c>
    </row>
    <row r="19" spans="1:14" x14ac:dyDescent="0.25">
      <c r="A19" s="23" t="s">
        <v>230</v>
      </c>
      <c r="B19" s="15">
        <f>Basic_Lift*2</f>
        <v>40</v>
      </c>
      <c r="C19" s="15">
        <f>Basic_Move*0.8</f>
        <v>4</v>
      </c>
      <c r="D19" s="15">
        <f>D18-1</f>
        <v>7</v>
      </c>
      <c r="E19" s="24">
        <v>2</v>
      </c>
      <c r="F19" s="74">
        <v>-4</v>
      </c>
      <c r="G19" s="70">
        <v>15</v>
      </c>
      <c r="H19" s="14" t="s">
        <v>504</v>
      </c>
      <c r="I19" s="48"/>
      <c r="J19" s="88"/>
      <c r="K19" s="88"/>
      <c r="L19" s="93"/>
      <c r="M19" s="74">
        <v>-12</v>
      </c>
      <c r="N19" s="75">
        <v>200</v>
      </c>
    </row>
    <row r="20" spans="1:14" x14ac:dyDescent="0.25">
      <c r="A20" s="23" t="s">
        <v>231</v>
      </c>
      <c r="B20" s="15">
        <f>Basic_Lift*3</f>
        <v>60</v>
      </c>
      <c r="C20" s="15">
        <f>Basic_Move*0.6</f>
        <v>3</v>
      </c>
      <c r="D20" s="15">
        <f>D19-1</f>
        <v>6</v>
      </c>
      <c r="E20" s="24">
        <v>3</v>
      </c>
      <c r="F20" s="74">
        <v>-4</v>
      </c>
      <c r="G20" s="70">
        <v>16</v>
      </c>
      <c r="H20" s="14" t="s">
        <v>505</v>
      </c>
      <c r="I20" s="48"/>
      <c r="J20" s="88"/>
      <c r="K20" s="88"/>
      <c r="L20" s="93"/>
      <c r="M20" s="74">
        <v>-13</v>
      </c>
      <c r="N20" s="77">
        <v>300</v>
      </c>
    </row>
    <row r="21" spans="1:14" x14ac:dyDescent="0.25">
      <c r="A21" s="23" t="s">
        <v>232</v>
      </c>
      <c r="B21" s="15">
        <f>Basic_Lift*6</f>
        <v>120</v>
      </c>
      <c r="C21" s="15">
        <f>Basic_Move*0.4</f>
        <v>2</v>
      </c>
      <c r="D21" s="15">
        <f>D20-1</f>
        <v>5</v>
      </c>
      <c r="E21" s="24">
        <v>4</v>
      </c>
      <c r="F21" s="38">
        <v>-5</v>
      </c>
      <c r="G21" s="68" t="s">
        <v>510</v>
      </c>
      <c r="H21" s="14" t="s">
        <v>491</v>
      </c>
      <c r="I21" s="48"/>
      <c r="J21" s="88"/>
      <c r="K21" s="88"/>
      <c r="L21" s="93"/>
      <c r="M21" s="74">
        <v>-14</v>
      </c>
      <c r="N21" s="77">
        <v>500</v>
      </c>
    </row>
    <row r="22" spans="1:14" ht="15.75" thickBot="1" x14ac:dyDescent="0.3">
      <c r="A22" s="23" t="s">
        <v>233</v>
      </c>
      <c r="B22" s="42">
        <f>Basic_Lift*10</f>
        <v>200</v>
      </c>
      <c r="C22" s="42">
        <f>Basic_Move*0.2</f>
        <v>1</v>
      </c>
      <c r="D22" s="42">
        <f>D21-1</f>
        <v>4</v>
      </c>
      <c r="E22" s="43">
        <v>5</v>
      </c>
      <c r="F22" s="81">
        <v>-3</v>
      </c>
      <c r="G22" s="50" t="s">
        <v>192</v>
      </c>
      <c r="H22" s="16" t="s">
        <v>498</v>
      </c>
      <c r="I22" s="50"/>
      <c r="J22" s="90"/>
      <c r="K22" s="90"/>
      <c r="L22" s="103"/>
      <c r="M22" s="78">
        <v>-15</v>
      </c>
      <c r="N22" s="79">
        <v>700</v>
      </c>
    </row>
    <row r="23" spans="1:14" x14ac:dyDescent="0.25">
      <c r="A23" s="98" t="s">
        <v>170</v>
      </c>
      <c r="B23" s="99"/>
      <c r="C23" s="53" t="s">
        <v>31</v>
      </c>
      <c r="D23" s="53" t="s">
        <v>238</v>
      </c>
      <c r="E23" s="53" t="s">
        <v>7</v>
      </c>
      <c r="F23" s="53" t="s">
        <v>239</v>
      </c>
      <c r="G23" s="53" t="s">
        <v>240</v>
      </c>
      <c r="H23" s="52" t="s">
        <v>297</v>
      </c>
      <c r="I23" s="52" t="s">
        <v>295</v>
      </c>
      <c r="J23" s="52" t="s">
        <v>296</v>
      </c>
      <c r="K23" s="52" t="s">
        <v>472</v>
      </c>
      <c r="L23" s="52" t="s">
        <v>473</v>
      </c>
      <c r="M23" s="99" t="s">
        <v>474</v>
      </c>
      <c r="N23" s="121"/>
    </row>
    <row r="24" spans="1:14" x14ac:dyDescent="0.25">
      <c r="A24" s="87"/>
      <c r="B24" s="8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88"/>
      <c r="N24" s="93"/>
    </row>
    <row r="25" spans="1:14" x14ac:dyDescent="0.25">
      <c r="A25" s="87"/>
      <c r="B25" s="8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88"/>
      <c r="N25" s="93"/>
    </row>
    <row r="26" spans="1:14" x14ac:dyDescent="0.25">
      <c r="A26" s="87"/>
      <c r="B26" s="8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88"/>
      <c r="N26" s="93"/>
    </row>
    <row r="27" spans="1:14" x14ac:dyDescent="0.25">
      <c r="A27" s="87"/>
      <c r="B27" s="8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88"/>
      <c r="N27" s="93"/>
    </row>
    <row r="28" spans="1:14" x14ac:dyDescent="0.25">
      <c r="A28" s="87"/>
      <c r="B28" s="8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88"/>
      <c r="N28" s="93"/>
    </row>
    <row r="29" spans="1:14" x14ac:dyDescent="0.25">
      <c r="A29" s="87"/>
      <c r="B29" s="8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88"/>
      <c r="N29" s="93"/>
    </row>
    <row r="30" spans="1:14" x14ac:dyDescent="0.25">
      <c r="A30" s="87"/>
      <c r="B30" s="8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88"/>
      <c r="N30" s="93"/>
    </row>
    <row r="31" spans="1:14" x14ac:dyDescent="0.25">
      <c r="A31" s="87"/>
      <c r="B31" s="8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88"/>
      <c r="N31" s="93"/>
    </row>
    <row r="32" spans="1:14" ht="15" customHeight="1" x14ac:dyDescent="0.25">
      <c r="A32" s="87"/>
      <c r="B32" s="8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88"/>
      <c r="N32" s="93"/>
    </row>
    <row r="33" spans="1:14" ht="15" customHeight="1" thickBot="1" x14ac:dyDescent="0.3">
      <c r="A33" s="89"/>
      <c r="B33" s="9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90"/>
      <c r="N33" s="103"/>
    </row>
    <row r="34" spans="1:14" ht="15" customHeight="1" x14ac:dyDescent="0.25">
      <c r="A34" s="123" t="s">
        <v>519</v>
      </c>
      <c r="B34" s="124"/>
      <c r="C34" s="129" t="s">
        <v>236</v>
      </c>
      <c r="D34" s="84" t="str">
        <f>3+ROUNDDOWN(Basic_Speed,0)&amp;"-"</f>
        <v>8-</v>
      </c>
      <c r="E34" s="132" t="s">
        <v>514</v>
      </c>
      <c r="F34" s="133"/>
      <c r="G34" s="129" t="s">
        <v>513</v>
      </c>
      <c r="H34" s="138" t="str">
        <f ca="1">3+ROUNDDOWN(Skills!J44/2,0)&amp;"-"</f>
        <v>6-</v>
      </c>
      <c r="I34" s="141" t="s">
        <v>161</v>
      </c>
      <c r="J34" s="142"/>
      <c r="K34" s="129" t="s">
        <v>240</v>
      </c>
      <c r="L34" s="84" t="str">
        <f ca="1">3+ROUNDDOWN(VLOOKUP(M34,Skills!I$18:J$56,2,TRUE)/2,0)&amp;"-"</f>
        <v>5-</v>
      </c>
      <c r="M34" s="132" t="s">
        <v>66</v>
      </c>
      <c r="N34" s="133"/>
    </row>
    <row r="35" spans="1:14" ht="15" customHeight="1" x14ac:dyDescent="0.25">
      <c r="A35" s="125"/>
      <c r="B35" s="126"/>
      <c r="C35" s="130"/>
      <c r="D35" s="85" t="str">
        <f>3+ROUNDDOWN(Basic_Speed,0)&amp;"-"</f>
        <v>8-</v>
      </c>
      <c r="E35" s="134" t="s">
        <v>515</v>
      </c>
      <c r="F35" s="135"/>
      <c r="G35" s="130"/>
      <c r="H35" s="139"/>
      <c r="I35" s="143"/>
      <c r="J35" s="144"/>
      <c r="K35" s="130"/>
      <c r="L35" s="85" t="str">
        <f ca="1">3+ROUNDDOWN(VLOOKUP(M35,Skills!I$18:J$56,2,TRUE)/2,0)&amp;"-"</f>
        <v>6-</v>
      </c>
      <c r="M35" s="134" t="s">
        <v>518</v>
      </c>
      <c r="N35" s="135"/>
    </row>
    <row r="36" spans="1:14" ht="15" customHeight="1" x14ac:dyDescent="0.25">
      <c r="A36" s="125"/>
      <c r="B36" s="126"/>
      <c r="C36" s="130"/>
      <c r="D36" s="85" t="str">
        <f>3+ROUNDDOWN(Basic_Speed,0)&amp;"-"</f>
        <v>8-</v>
      </c>
      <c r="E36" s="134" t="s">
        <v>516</v>
      </c>
      <c r="F36" s="135"/>
      <c r="G36" s="130"/>
      <c r="H36" s="139" t="str">
        <f ca="1">3+ROUNDDOWN(Skills!J25/2,0)&amp;"-"</f>
        <v>5-</v>
      </c>
      <c r="I36" s="143" t="s">
        <v>70</v>
      </c>
      <c r="J36" s="144"/>
      <c r="K36" s="130"/>
      <c r="L36" s="85" t="str">
        <f ca="1">3+ROUNDDOWN(VLOOKUP(M36,Skills!I$18:J$56,2,TRUE)/2,0)&amp;"-"</f>
        <v>5-</v>
      </c>
      <c r="M36" s="134" t="s">
        <v>128</v>
      </c>
      <c r="N36" s="135"/>
    </row>
    <row r="37" spans="1:14" ht="15.75" thickBot="1" x14ac:dyDescent="0.3">
      <c r="A37" s="127"/>
      <c r="B37" s="128"/>
      <c r="C37" s="131"/>
      <c r="D37" s="86" t="str">
        <f>3+ROUNDDOWN(Basic_Speed,0)&amp;"-"</f>
        <v>8-</v>
      </c>
      <c r="E37" s="136" t="s">
        <v>517</v>
      </c>
      <c r="F37" s="137"/>
      <c r="G37" s="131"/>
      <c r="H37" s="140"/>
      <c r="I37" s="145"/>
      <c r="J37" s="146"/>
      <c r="K37" s="131"/>
      <c r="L37" s="86" t="str">
        <f ca="1">3+ROUNDDOWN(VLOOKUP(M37,Skills!I$18:J$56,2,TRUE)/2,0)&amp;"-"</f>
        <v>6-</v>
      </c>
      <c r="M37" s="136" t="s">
        <v>161</v>
      </c>
      <c r="N37" s="137"/>
    </row>
    <row r="42" spans="1:14" ht="15" customHeight="1" x14ac:dyDescent="0.25"/>
    <row r="43" spans="1:14" ht="15" customHeight="1" x14ac:dyDescent="0.25"/>
    <row r="44" spans="1:14" ht="15" customHeight="1" x14ac:dyDescent="0.25"/>
    <row r="45" spans="1:14" ht="15.75" customHeight="1" x14ac:dyDescent="0.25"/>
    <row r="95" ht="15" customHeight="1" x14ac:dyDescent="0.25"/>
  </sheetData>
  <mergeCells count="74">
    <mergeCell ref="A34:B37"/>
    <mergeCell ref="K34:K37"/>
    <mergeCell ref="M34:N34"/>
    <mergeCell ref="M35:N35"/>
    <mergeCell ref="M36:N36"/>
    <mergeCell ref="M37:N37"/>
    <mergeCell ref="C34:C37"/>
    <mergeCell ref="E34:F34"/>
    <mergeCell ref="E35:F35"/>
    <mergeCell ref="E36:F36"/>
    <mergeCell ref="E37:F37"/>
    <mergeCell ref="G34:G37"/>
    <mergeCell ref="H34:H35"/>
    <mergeCell ref="H36:H37"/>
    <mergeCell ref="I34:J35"/>
    <mergeCell ref="I36:J37"/>
    <mergeCell ref="M33:N33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M28:N28"/>
    <mergeCell ref="M29:N29"/>
    <mergeCell ref="M30:N30"/>
    <mergeCell ref="M31:N31"/>
    <mergeCell ref="M32:N32"/>
    <mergeCell ref="M23:N23"/>
    <mergeCell ref="M24:N24"/>
    <mergeCell ref="M25:N25"/>
    <mergeCell ref="M26:N26"/>
    <mergeCell ref="M27:N27"/>
    <mergeCell ref="A1:B1"/>
    <mergeCell ref="A2:B2"/>
    <mergeCell ref="C1:H1"/>
    <mergeCell ref="C2:H2"/>
    <mergeCell ref="J3:K3"/>
    <mergeCell ref="J1:K1"/>
    <mergeCell ref="J2:K2"/>
    <mergeCell ref="A23:B23"/>
    <mergeCell ref="A24:B24"/>
    <mergeCell ref="A16:B16"/>
    <mergeCell ref="C16:E16"/>
    <mergeCell ref="J4:K4"/>
    <mergeCell ref="J5:K5"/>
    <mergeCell ref="F7:H7"/>
    <mergeCell ref="I6:L7"/>
    <mergeCell ref="F4:H4"/>
    <mergeCell ref="G5:H5"/>
    <mergeCell ref="G6:H6"/>
    <mergeCell ref="M1:N1"/>
    <mergeCell ref="M2:N2"/>
    <mergeCell ref="M3:N3"/>
    <mergeCell ref="M4:N4"/>
    <mergeCell ref="F8:L8"/>
    <mergeCell ref="M6:N6"/>
    <mergeCell ref="A30:B30"/>
    <mergeCell ref="A31:B31"/>
    <mergeCell ref="A32:B32"/>
    <mergeCell ref="A33:B33"/>
    <mergeCell ref="A25:B25"/>
    <mergeCell ref="A26:B26"/>
    <mergeCell ref="A27:B27"/>
    <mergeCell ref="A28:B28"/>
    <mergeCell ref="A29:B29"/>
  </mergeCells>
  <printOptions horizontalCentered="1" verticalCentered="1" gridLines="1"/>
  <pageMargins left="0.25" right="0.25" top="0.25" bottom="0.2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30BD-F8D0-42F4-B66F-57437DDC0DB0}">
  <sheetPr>
    <pageSetUpPr fitToPage="1"/>
  </sheetPr>
  <dimension ref="A1:N125"/>
  <sheetViews>
    <sheetView topLeftCell="A19" workbookViewId="0">
      <selection activeCell="I42" sqref="I42"/>
    </sheetView>
  </sheetViews>
  <sheetFormatPr defaultRowHeight="15" x14ac:dyDescent="0.25"/>
  <cols>
    <col min="1" max="1" width="3.7109375" style="10" bestFit="1" customWidth="1"/>
    <col min="2" max="2" width="30.28515625" bestFit="1" customWidth="1"/>
    <col min="3" max="7" width="9.140625" style="1"/>
    <col min="8" max="8" width="3.7109375" style="10" customWidth="1"/>
    <col min="9" max="9" width="30.28515625" customWidth="1"/>
  </cols>
  <sheetData>
    <row r="1" spans="1:14" x14ac:dyDescent="0.25">
      <c r="A1" s="95" t="s">
        <v>215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5.75" thickBot="1" x14ac:dyDescent="0.3">
      <c r="A2" s="13"/>
      <c r="B2" s="11" t="s">
        <v>31</v>
      </c>
      <c r="C2" s="12" t="s">
        <v>32</v>
      </c>
      <c r="D2" s="12" t="s">
        <v>35</v>
      </c>
      <c r="E2" s="12" t="s">
        <v>46</v>
      </c>
      <c r="F2" s="12" t="s">
        <v>208</v>
      </c>
      <c r="G2" s="12" t="s">
        <v>34</v>
      </c>
      <c r="H2" s="13"/>
      <c r="I2" s="11" t="s">
        <v>31</v>
      </c>
      <c r="J2" s="12" t="s">
        <v>32</v>
      </c>
      <c r="K2" s="12" t="s">
        <v>35</v>
      </c>
      <c r="L2" s="12" t="s">
        <v>46</v>
      </c>
      <c r="M2" s="12" t="s">
        <v>208</v>
      </c>
      <c r="N2" s="45" t="s">
        <v>34</v>
      </c>
    </row>
    <row r="3" spans="1:14" x14ac:dyDescent="0.25">
      <c r="A3" s="147" t="s">
        <v>204</v>
      </c>
      <c r="B3" s="14" t="s">
        <v>47</v>
      </c>
      <c r="C3" s="18">
        <f t="shared" ref="C3:C34" ca="1" si="0">IF(IF(D3=0,MAX(0,E3),INDIRECT(F3)-VLOOKUP(G3,Skill_Difficulty,2,FALSE)+VLOOKUP(D3,Skill_Points,2,TRUE))&lt;=0,"-",IF(D3=0,MAX(0,E3),INDIRECT(F3)-VLOOKUP(G3,Skill_Difficulty,2,FALSE)+VLOOKUP(D3,Skill_Points,2,TRUE)))</f>
        <v>4</v>
      </c>
      <c r="D3" s="18"/>
      <c r="E3" s="18">
        <f>DX-6</f>
        <v>4</v>
      </c>
      <c r="F3" s="18" t="s">
        <v>1</v>
      </c>
      <c r="G3" s="18" t="s">
        <v>37</v>
      </c>
      <c r="H3" s="147" t="s">
        <v>201</v>
      </c>
      <c r="I3" s="14" t="s">
        <v>67</v>
      </c>
      <c r="J3" s="18">
        <f t="shared" ref="J3:J36" ca="1" si="1">IF(IF(K3=0,MAX(0,L3),INDIRECT(M3)-VLOOKUP(N3,Skill_Difficulty,2,FALSE)+VLOOKUP(K3,Skill_Points,2,TRUE))&lt;=0,"-",IF(K3=0,MAX(0,L3),INDIRECT(M3)-VLOOKUP(N3,Skill_Difficulty,2,FALSE)+VLOOKUP(K3,Skill_Points,2,TRUE)))</f>
        <v>6</v>
      </c>
      <c r="K3" s="18"/>
      <c r="L3" s="18">
        <f ca="1">MAX(IQ-4,C10-2)</f>
        <v>6</v>
      </c>
      <c r="M3" s="18" t="s">
        <v>2</v>
      </c>
      <c r="N3" s="24" t="s">
        <v>36</v>
      </c>
    </row>
    <row r="4" spans="1:14" x14ac:dyDescent="0.25">
      <c r="A4" s="147"/>
      <c r="B4" s="14" t="s">
        <v>69</v>
      </c>
      <c r="C4" s="18">
        <f t="shared" ca="1" si="0"/>
        <v>5</v>
      </c>
      <c r="D4" s="18"/>
      <c r="E4" s="18">
        <f>DX-5</f>
        <v>5</v>
      </c>
      <c r="F4" s="18" t="s">
        <v>1</v>
      </c>
      <c r="G4" s="18" t="s">
        <v>42</v>
      </c>
      <c r="H4" s="147"/>
      <c r="I4" s="14" t="s">
        <v>77</v>
      </c>
      <c r="J4" s="18">
        <f t="shared" ca="1" si="1"/>
        <v>4</v>
      </c>
      <c r="K4" s="18"/>
      <c r="L4" s="18">
        <f>DX-6</f>
        <v>4</v>
      </c>
      <c r="M4" s="18" t="s">
        <v>1</v>
      </c>
      <c r="N4" s="24" t="s">
        <v>37</v>
      </c>
    </row>
    <row r="5" spans="1:14" x14ac:dyDescent="0.25">
      <c r="A5" s="147"/>
      <c r="B5" s="14" t="s">
        <v>91</v>
      </c>
      <c r="C5" s="18" t="str">
        <f t="shared" ca="1" si="0"/>
        <v>-</v>
      </c>
      <c r="D5" s="18"/>
      <c r="E5" s="18" t="s">
        <v>192</v>
      </c>
      <c r="F5" s="18" t="s">
        <v>1</v>
      </c>
      <c r="G5" s="18" t="s">
        <v>36</v>
      </c>
      <c r="H5" s="147"/>
      <c r="I5" s="14" t="s">
        <v>79</v>
      </c>
      <c r="J5" s="18">
        <f t="shared" ca="1" si="1"/>
        <v>5</v>
      </c>
      <c r="K5" s="18"/>
      <c r="L5" s="18">
        <f>MAX(DX-5)</f>
        <v>5</v>
      </c>
      <c r="M5" s="18" t="s">
        <v>1</v>
      </c>
      <c r="N5" s="24" t="s">
        <v>42</v>
      </c>
    </row>
    <row r="6" spans="1:14" x14ac:dyDescent="0.25">
      <c r="A6" s="147"/>
      <c r="B6" s="14" t="s">
        <v>98</v>
      </c>
      <c r="C6" s="18" t="str">
        <f t="shared" ca="1" si="0"/>
        <v>-</v>
      </c>
      <c r="D6" s="18"/>
      <c r="E6" s="18" t="s">
        <v>192</v>
      </c>
      <c r="F6" s="18" t="s">
        <v>3</v>
      </c>
      <c r="G6" s="18" t="s">
        <v>42</v>
      </c>
      <c r="H6" s="147"/>
      <c r="I6" s="14" t="s">
        <v>144</v>
      </c>
      <c r="J6" s="18">
        <f t="shared" ca="1" si="1"/>
        <v>4</v>
      </c>
      <c r="K6" s="18"/>
      <c r="L6" s="18">
        <f>IQ-6</f>
        <v>4</v>
      </c>
      <c r="M6" s="18" t="s">
        <v>2</v>
      </c>
      <c r="N6" s="24" t="s">
        <v>37</v>
      </c>
    </row>
    <row r="7" spans="1:14" x14ac:dyDescent="0.25">
      <c r="A7" s="147"/>
      <c r="B7" s="14" t="s">
        <v>160</v>
      </c>
      <c r="C7" s="18">
        <f t="shared" ca="1" si="0"/>
        <v>5</v>
      </c>
      <c r="D7" s="18"/>
      <c r="E7" s="18">
        <f ca="1">MAX(DX-5,C63-3)</f>
        <v>5</v>
      </c>
      <c r="F7" s="18" t="s">
        <v>1</v>
      </c>
      <c r="G7" s="18" t="s">
        <v>42</v>
      </c>
      <c r="H7" s="147"/>
      <c r="I7" s="14" t="s">
        <v>85</v>
      </c>
      <c r="J7" s="18">
        <f t="shared" ca="1" si="1"/>
        <v>6</v>
      </c>
      <c r="K7" s="18"/>
      <c r="L7" s="18">
        <f>IQ-4</f>
        <v>6</v>
      </c>
      <c r="M7" s="18" t="s">
        <v>2</v>
      </c>
      <c r="N7" s="24" t="s">
        <v>36</v>
      </c>
    </row>
    <row r="8" spans="1:14" x14ac:dyDescent="0.25">
      <c r="A8" s="147"/>
      <c r="B8" s="14" t="s">
        <v>115</v>
      </c>
      <c r="C8" s="18">
        <f t="shared" ca="1" si="0"/>
        <v>5</v>
      </c>
      <c r="D8" s="18"/>
      <c r="E8" s="18">
        <f>HT-5</f>
        <v>5</v>
      </c>
      <c r="F8" s="18" t="s">
        <v>3</v>
      </c>
      <c r="G8" s="18" t="s">
        <v>42</v>
      </c>
      <c r="H8" s="147"/>
      <c r="I8" s="14" t="s">
        <v>86</v>
      </c>
      <c r="J8" s="18" t="e">
        <f t="shared" ca="1" si="1"/>
        <v>#VALUE!</v>
      </c>
      <c r="K8" s="18"/>
      <c r="L8" s="18" t="e">
        <f ca="1">MAX(IQ-5,J15-3)</f>
        <v>#VALUE!</v>
      </c>
      <c r="M8" s="18" t="s">
        <v>2</v>
      </c>
      <c r="N8" s="24" t="s">
        <v>42</v>
      </c>
    </row>
    <row r="9" spans="1:14" x14ac:dyDescent="0.25">
      <c r="A9" s="147"/>
      <c r="B9" s="14" t="s">
        <v>122</v>
      </c>
      <c r="C9" s="18">
        <f t="shared" ca="1" si="0"/>
        <v>4</v>
      </c>
      <c r="D9" s="18"/>
      <c r="E9" s="18">
        <f>HT-6</f>
        <v>4</v>
      </c>
      <c r="F9" s="18" t="s">
        <v>3</v>
      </c>
      <c r="G9" s="18" t="s">
        <v>37</v>
      </c>
      <c r="H9" s="147"/>
      <c r="I9" s="14" t="s">
        <v>100</v>
      </c>
      <c r="J9" s="18" t="str">
        <f t="shared" ca="1" si="1"/>
        <v>-</v>
      </c>
      <c r="K9" s="18"/>
      <c r="L9" s="18">
        <f>Per-10</f>
        <v>0</v>
      </c>
      <c r="M9" s="18" t="s">
        <v>5</v>
      </c>
      <c r="N9" s="24" t="s">
        <v>42</v>
      </c>
    </row>
    <row r="10" spans="1:14" x14ac:dyDescent="0.25">
      <c r="A10" s="147"/>
      <c r="B10" s="14" t="s">
        <v>163</v>
      </c>
      <c r="C10" s="18">
        <f t="shared" ca="1" si="0"/>
        <v>5</v>
      </c>
      <c r="D10" s="18"/>
      <c r="E10" s="18">
        <f ca="1">MAX(Per-5,C44-3)</f>
        <v>5</v>
      </c>
      <c r="F10" s="18" t="s">
        <v>5</v>
      </c>
      <c r="G10" s="18" t="s">
        <v>42</v>
      </c>
      <c r="H10" s="147"/>
      <c r="I10" s="14" t="s">
        <v>145</v>
      </c>
      <c r="J10" s="18">
        <f t="shared" ca="1" si="1"/>
        <v>5</v>
      </c>
      <c r="K10" s="18"/>
      <c r="L10" s="18">
        <f>IQ-5</f>
        <v>5</v>
      </c>
      <c r="M10" s="18" t="s">
        <v>2</v>
      </c>
      <c r="N10" s="24" t="s">
        <v>42</v>
      </c>
    </row>
    <row r="11" spans="1:14" x14ac:dyDescent="0.25">
      <c r="A11" s="147"/>
      <c r="B11" s="14" t="s">
        <v>131</v>
      </c>
      <c r="C11" s="18">
        <f t="shared" ca="1" si="0"/>
        <v>6</v>
      </c>
      <c r="D11" s="18"/>
      <c r="E11" s="18">
        <f>HT-4</f>
        <v>6</v>
      </c>
      <c r="F11" s="18" t="s">
        <v>3</v>
      </c>
      <c r="G11" s="18" t="s">
        <v>36</v>
      </c>
      <c r="H11" s="147"/>
      <c r="I11" s="14" t="s">
        <v>106</v>
      </c>
      <c r="J11" s="18">
        <f t="shared" ca="1" si="1"/>
        <v>5</v>
      </c>
      <c r="K11" s="18"/>
      <c r="L11" s="18">
        <f>MAX(Per-5)</f>
        <v>5</v>
      </c>
      <c r="M11" s="18" t="s">
        <v>5</v>
      </c>
      <c r="N11" s="24" t="s">
        <v>42</v>
      </c>
    </row>
    <row r="12" spans="1:14" x14ac:dyDescent="0.25">
      <c r="A12" s="147"/>
      <c r="B12" s="14" t="s">
        <v>134</v>
      </c>
      <c r="C12" s="18">
        <f t="shared" ca="1" si="0"/>
        <v>5</v>
      </c>
      <c r="D12" s="18"/>
      <c r="E12" s="18">
        <f ca="1">MAX(Per-5,C44-5)</f>
        <v>5</v>
      </c>
      <c r="F12" s="18" t="s">
        <v>5</v>
      </c>
      <c r="G12" s="18" t="s">
        <v>42</v>
      </c>
      <c r="H12" s="147"/>
      <c r="I12" s="14" t="s">
        <v>108</v>
      </c>
      <c r="J12" s="18" t="e">
        <f t="shared" ca="1" si="1"/>
        <v>#VALUE!</v>
      </c>
      <c r="K12" s="18"/>
      <c r="L12" s="18" t="e">
        <f ca="1">MAX(DX-6,J15-4)</f>
        <v>#VALUE!</v>
      </c>
      <c r="M12" s="18" t="s">
        <v>1</v>
      </c>
      <c r="N12" s="24" t="s">
        <v>37</v>
      </c>
    </row>
    <row r="13" spans="1:14" x14ac:dyDescent="0.25">
      <c r="A13" s="147" t="s">
        <v>203</v>
      </c>
      <c r="B13" s="14" t="s">
        <v>209</v>
      </c>
      <c r="C13" s="18" t="str">
        <f t="shared" ca="1" si="0"/>
        <v>-</v>
      </c>
      <c r="D13" s="18"/>
      <c r="E13" s="18" t="s">
        <v>192</v>
      </c>
      <c r="F13" s="18" t="s">
        <v>5</v>
      </c>
      <c r="G13" s="18" t="s">
        <v>43</v>
      </c>
      <c r="H13" s="147"/>
      <c r="I13" s="14" t="s">
        <v>118</v>
      </c>
      <c r="J13" s="18">
        <f t="shared" ca="1" si="1"/>
        <v>5</v>
      </c>
      <c r="K13" s="18"/>
      <c r="L13" s="18">
        <f>Per-5</f>
        <v>5</v>
      </c>
      <c r="M13" s="18" t="s">
        <v>5</v>
      </c>
      <c r="N13" s="24" t="s">
        <v>42</v>
      </c>
    </row>
    <row r="14" spans="1:14" x14ac:dyDescent="0.25">
      <c r="A14" s="147"/>
      <c r="B14" s="14" t="s">
        <v>210</v>
      </c>
      <c r="C14" s="18" t="str">
        <f t="shared" ca="1" si="0"/>
        <v>-</v>
      </c>
      <c r="D14" s="18"/>
      <c r="E14" s="18" t="s">
        <v>192</v>
      </c>
      <c r="F14" s="18" t="s">
        <v>2</v>
      </c>
      <c r="G14" s="18" t="s">
        <v>37</v>
      </c>
      <c r="H14" s="147"/>
      <c r="I14" s="14" t="s">
        <v>119</v>
      </c>
      <c r="J14" s="18">
        <f t="shared" ca="1" si="1"/>
        <v>5</v>
      </c>
      <c r="K14" s="18"/>
      <c r="L14" s="18">
        <f ca="1">MAX(IQ-5,J11-5,J16-4)</f>
        <v>5</v>
      </c>
      <c r="M14" s="18" t="s">
        <v>2</v>
      </c>
      <c r="N14" s="24" t="s">
        <v>42</v>
      </c>
    </row>
    <row r="15" spans="1:14" x14ac:dyDescent="0.25">
      <c r="A15" s="147"/>
      <c r="B15" s="14" t="s">
        <v>153</v>
      </c>
      <c r="C15" s="18">
        <f t="shared" ca="1" si="0"/>
        <v>5</v>
      </c>
      <c r="D15" s="18"/>
      <c r="E15" s="18">
        <f>MAX(IQ-5)</f>
        <v>5</v>
      </c>
      <c r="F15" s="18" t="s">
        <v>2</v>
      </c>
      <c r="G15" s="18" t="s">
        <v>42</v>
      </c>
      <c r="H15" s="147"/>
      <c r="I15" s="14" t="s">
        <v>123</v>
      </c>
      <c r="J15" s="18" t="str">
        <f t="shared" ca="1" si="1"/>
        <v>-</v>
      </c>
      <c r="K15" s="18"/>
      <c r="L15" s="18">
        <f ca="1">J5-5</f>
        <v>0</v>
      </c>
      <c r="M15" s="18" t="s">
        <v>1</v>
      </c>
      <c r="N15" s="24" t="s">
        <v>37</v>
      </c>
    </row>
    <row r="16" spans="1:14" x14ac:dyDescent="0.25">
      <c r="A16" s="147"/>
      <c r="B16" s="14" t="s">
        <v>154</v>
      </c>
      <c r="C16" s="18" t="str">
        <f t="shared" ca="1" si="0"/>
        <v>-</v>
      </c>
      <c r="D16" s="18"/>
      <c r="E16" s="18" t="s">
        <v>192</v>
      </c>
      <c r="F16" s="18" t="s">
        <v>1</v>
      </c>
      <c r="G16" s="18" t="s">
        <v>36</v>
      </c>
      <c r="H16" s="147"/>
      <c r="I16" s="14" t="s">
        <v>129</v>
      </c>
      <c r="J16" s="18">
        <f t="shared" ca="1" si="1"/>
        <v>5</v>
      </c>
      <c r="K16" s="18"/>
      <c r="L16" s="18">
        <f>MAX(DX-5,IQ-5)</f>
        <v>5</v>
      </c>
      <c r="M16" s="18" t="s">
        <v>1</v>
      </c>
      <c r="N16" s="24" t="s">
        <v>42</v>
      </c>
    </row>
    <row r="17" spans="1:14" x14ac:dyDescent="0.25">
      <c r="A17" s="147"/>
      <c r="B17" s="14" t="s">
        <v>107</v>
      </c>
      <c r="C17" s="18" t="str">
        <f t="shared" ca="1" si="0"/>
        <v>-</v>
      </c>
      <c r="D17" s="18"/>
      <c r="E17" s="18" t="s">
        <v>192</v>
      </c>
      <c r="F17" s="18" t="s">
        <v>1</v>
      </c>
      <c r="G17" s="18" t="s">
        <v>37</v>
      </c>
      <c r="H17" s="147"/>
      <c r="I17" s="14" t="s">
        <v>147</v>
      </c>
      <c r="J17" s="18">
        <f t="shared" ca="1" si="1"/>
        <v>5</v>
      </c>
      <c r="K17" s="18"/>
      <c r="L17" s="18">
        <f ca="1">MAX(IQ-5,J10-3)</f>
        <v>5</v>
      </c>
      <c r="M17" s="18" t="s">
        <v>2</v>
      </c>
      <c r="N17" s="24" t="s">
        <v>42</v>
      </c>
    </row>
    <row r="18" spans="1:14" ht="15" customHeight="1" x14ac:dyDescent="0.25">
      <c r="A18" s="147"/>
      <c r="B18" s="14" t="s">
        <v>211</v>
      </c>
      <c r="C18" s="18" t="str">
        <f t="shared" ca="1" si="0"/>
        <v>-</v>
      </c>
      <c r="D18" s="18"/>
      <c r="E18" s="18" t="s">
        <v>192</v>
      </c>
      <c r="F18" s="18" t="s">
        <v>4</v>
      </c>
      <c r="G18" s="18" t="s">
        <v>37</v>
      </c>
      <c r="H18" s="147" t="s">
        <v>200</v>
      </c>
      <c r="I18" s="14" t="s">
        <v>56</v>
      </c>
      <c r="J18" s="18">
        <f t="shared" ca="1" si="1"/>
        <v>5</v>
      </c>
      <c r="K18" s="18"/>
      <c r="L18" s="18">
        <f>DX-5</f>
        <v>5</v>
      </c>
      <c r="M18" s="18" t="s">
        <v>1</v>
      </c>
      <c r="N18" s="24" t="s">
        <v>42</v>
      </c>
    </row>
    <row r="19" spans="1:14" x14ac:dyDescent="0.25">
      <c r="A19" s="147"/>
      <c r="B19" s="14" t="s">
        <v>212</v>
      </c>
      <c r="C19" s="18" t="str">
        <f t="shared" ca="1" si="0"/>
        <v>-</v>
      </c>
      <c r="D19" s="18"/>
      <c r="E19" s="18" t="s">
        <v>192</v>
      </c>
      <c r="F19" s="18" t="s">
        <v>2</v>
      </c>
      <c r="G19" s="18" t="s">
        <v>37</v>
      </c>
      <c r="H19" s="147"/>
      <c r="I19" s="14" t="s">
        <v>58</v>
      </c>
      <c r="J19" s="18">
        <f t="shared" ca="1" si="1"/>
        <v>4</v>
      </c>
      <c r="K19" s="18"/>
      <c r="L19" s="18">
        <f>DX-6</f>
        <v>4</v>
      </c>
      <c r="M19" s="18" t="s">
        <v>1</v>
      </c>
      <c r="N19" s="24" t="s">
        <v>37</v>
      </c>
    </row>
    <row r="20" spans="1:14" x14ac:dyDescent="0.25">
      <c r="A20" s="147"/>
      <c r="B20" s="14" t="s">
        <v>213</v>
      </c>
      <c r="C20" s="18" t="str">
        <f t="shared" ca="1" si="0"/>
        <v>-</v>
      </c>
      <c r="D20" s="18"/>
      <c r="E20" s="18" t="s">
        <v>192</v>
      </c>
      <c r="F20" s="18" t="s">
        <v>1</v>
      </c>
      <c r="G20" s="18" t="s">
        <v>37</v>
      </c>
      <c r="H20" s="147"/>
      <c r="I20" s="14" t="s">
        <v>61</v>
      </c>
      <c r="J20" s="18" t="str">
        <f t="shared" ca="1" si="1"/>
        <v>-</v>
      </c>
      <c r="K20" s="18"/>
      <c r="L20" s="18" t="s">
        <v>192</v>
      </c>
      <c r="M20" s="18" t="s">
        <v>1</v>
      </c>
      <c r="N20" s="24" t="s">
        <v>42</v>
      </c>
    </row>
    <row r="21" spans="1:14" x14ac:dyDescent="0.25">
      <c r="A21" s="147" t="s">
        <v>166</v>
      </c>
      <c r="B21" s="14" t="s">
        <v>165</v>
      </c>
      <c r="C21" s="18">
        <f t="shared" ca="1" si="0"/>
        <v>5</v>
      </c>
      <c r="D21" s="18"/>
      <c r="E21" s="18">
        <f>IQ-5</f>
        <v>5</v>
      </c>
      <c r="F21" s="18" t="s">
        <v>2</v>
      </c>
      <c r="G21" s="18" t="s">
        <v>42</v>
      </c>
      <c r="H21" s="147"/>
      <c r="I21" s="14" t="s">
        <v>62</v>
      </c>
      <c r="J21" s="18">
        <f t="shared" ca="1" si="1"/>
        <v>5</v>
      </c>
      <c r="K21" s="18"/>
      <c r="L21" s="18">
        <f>DX-5</f>
        <v>5</v>
      </c>
      <c r="M21" s="18" t="s">
        <v>1</v>
      </c>
      <c r="N21" s="24" t="s">
        <v>42</v>
      </c>
    </row>
    <row r="22" spans="1:14" x14ac:dyDescent="0.25">
      <c r="A22" s="147"/>
      <c r="B22" s="14" t="s">
        <v>141</v>
      </c>
      <c r="C22" s="18">
        <f t="shared" ca="1" si="0"/>
        <v>5</v>
      </c>
      <c r="D22" s="18"/>
      <c r="E22" s="18">
        <f ca="1">MAX(IQ-5,C38-2,C49-4)</f>
        <v>5</v>
      </c>
      <c r="F22" s="18" t="s">
        <v>2</v>
      </c>
      <c r="G22" s="18" t="s">
        <v>42</v>
      </c>
      <c r="H22" s="147"/>
      <c r="I22" s="14" t="s">
        <v>63</v>
      </c>
      <c r="J22" s="18" t="str">
        <f t="shared" ca="1" si="1"/>
        <v>-</v>
      </c>
      <c r="K22" s="18"/>
      <c r="L22" s="18" t="s">
        <v>192</v>
      </c>
      <c r="M22" s="18" t="s">
        <v>1</v>
      </c>
      <c r="N22" s="24" t="s">
        <v>42</v>
      </c>
    </row>
    <row r="23" spans="1:14" x14ac:dyDescent="0.25">
      <c r="A23" s="147"/>
      <c r="B23" s="14" t="s">
        <v>71</v>
      </c>
      <c r="C23" s="18">
        <f t="shared" ca="1" si="0"/>
        <v>5</v>
      </c>
      <c r="D23" s="18"/>
      <c r="E23" s="18">
        <f>IQ-5</f>
        <v>5</v>
      </c>
      <c r="F23" s="18" t="s">
        <v>2</v>
      </c>
      <c r="G23" s="18" t="s">
        <v>42</v>
      </c>
      <c r="H23" s="147"/>
      <c r="I23" s="14" t="s">
        <v>64</v>
      </c>
      <c r="J23" s="18" t="str">
        <f t="shared" ca="1" si="1"/>
        <v>-</v>
      </c>
      <c r="K23" s="18"/>
      <c r="L23" s="18" t="s">
        <v>192</v>
      </c>
      <c r="M23" s="18" t="s">
        <v>1</v>
      </c>
      <c r="N23" s="24" t="s">
        <v>36</v>
      </c>
    </row>
    <row r="24" spans="1:14" x14ac:dyDescent="0.25">
      <c r="A24" s="147"/>
      <c r="B24" s="14" t="s">
        <v>80</v>
      </c>
      <c r="C24" s="18">
        <f t="shared" ca="1" si="0"/>
        <v>6</v>
      </c>
      <c r="D24" s="18"/>
      <c r="E24" s="18">
        <f>Per-4</f>
        <v>6</v>
      </c>
      <c r="F24" s="18" t="s">
        <v>5</v>
      </c>
      <c r="G24" s="18" t="s">
        <v>36</v>
      </c>
      <c r="H24" s="147"/>
      <c r="I24" s="14" t="s">
        <v>66</v>
      </c>
      <c r="J24" s="18">
        <f t="shared" ca="1" si="1"/>
        <v>5</v>
      </c>
      <c r="K24" s="18"/>
      <c r="L24" s="18">
        <f>DX-5</f>
        <v>5</v>
      </c>
      <c r="M24" s="18" t="s">
        <v>1</v>
      </c>
      <c r="N24" s="24" t="s">
        <v>42</v>
      </c>
    </row>
    <row r="25" spans="1:14" x14ac:dyDescent="0.25">
      <c r="A25" s="147"/>
      <c r="B25" s="14" t="s">
        <v>83</v>
      </c>
      <c r="C25" s="18">
        <f t="shared" ca="1" si="0"/>
        <v>6</v>
      </c>
      <c r="D25" s="18"/>
      <c r="E25" s="18">
        <f>IQ-4</f>
        <v>6</v>
      </c>
      <c r="F25" s="18" t="s">
        <v>2</v>
      </c>
      <c r="G25" s="18" t="s">
        <v>36</v>
      </c>
      <c r="H25" s="147"/>
      <c r="I25" s="14" t="s">
        <v>70</v>
      </c>
      <c r="J25" s="18">
        <f t="shared" ca="1" si="1"/>
        <v>5</v>
      </c>
      <c r="K25" s="18"/>
      <c r="L25" s="18">
        <f ca="1">MAX(DX-5,J40-4,J44-4)</f>
        <v>5</v>
      </c>
      <c r="M25" s="18" t="s">
        <v>1</v>
      </c>
      <c r="N25" s="24" t="s">
        <v>42</v>
      </c>
    </row>
    <row r="26" spans="1:14" x14ac:dyDescent="0.25">
      <c r="A26" s="147"/>
      <c r="B26" s="14" t="s">
        <v>175</v>
      </c>
      <c r="C26" s="18">
        <f t="shared" ca="1" si="0"/>
        <v>4</v>
      </c>
      <c r="D26" s="18"/>
      <c r="E26" s="18">
        <f>IQ-6</f>
        <v>4</v>
      </c>
      <c r="F26" s="18" t="s">
        <v>2</v>
      </c>
      <c r="G26" s="18" t="s">
        <v>37</v>
      </c>
      <c r="H26" s="147"/>
      <c r="I26" s="14" t="s">
        <v>207</v>
      </c>
      <c r="J26" s="18">
        <f t="shared" ca="1" si="1"/>
        <v>5</v>
      </c>
      <c r="K26" s="18"/>
      <c r="L26" s="18">
        <f>DX-5</f>
        <v>5</v>
      </c>
      <c r="M26" s="18" t="s">
        <v>1</v>
      </c>
      <c r="N26" s="24" t="s">
        <v>42</v>
      </c>
    </row>
    <row r="27" spans="1:14" x14ac:dyDescent="0.25">
      <c r="A27" s="147"/>
      <c r="B27" s="14" t="s">
        <v>97</v>
      </c>
      <c r="C27" s="18">
        <f t="shared" ca="1" si="0"/>
        <v>6</v>
      </c>
      <c r="D27" s="18"/>
      <c r="E27" s="18">
        <f>DX-4</f>
        <v>6</v>
      </c>
      <c r="F27" s="18" t="s">
        <v>1</v>
      </c>
      <c r="G27" s="18" t="s">
        <v>36</v>
      </c>
      <c r="H27" s="147"/>
      <c r="I27" s="14" t="s">
        <v>72</v>
      </c>
      <c r="J27" s="18">
        <f t="shared" ca="1" si="1"/>
        <v>6</v>
      </c>
      <c r="K27" s="18"/>
      <c r="L27" s="18">
        <f>DX-4</f>
        <v>6</v>
      </c>
      <c r="M27" s="18" t="s">
        <v>1</v>
      </c>
      <c r="N27" s="24" t="s">
        <v>36</v>
      </c>
    </row>
    <row r="28" spans="1:14" x14ac:dyDescent="0.25">
      <c r="A28" s="147"/>
      <c r="B28" s="14" t="s">
        <v>174</v>
      </c>
      <c r="C28" s="18">
        <f t="shared" ca="1" si="0"/>
        <v>6</v>
      </c>
      <c r="D28" s="18"/>
      <c r="E28" s="18">
        <f ca="1">MAX(DX-4,C4-4)</f>
        <v>6</v>
      </c>
      <c r="F28" s="18" t="s">
        <v>1</v>
      </c>
      <c r="G28" s="18" t="s">
        <v>36</v>
      </c>
      <c r="H28" s="147"/>
      <c r="I28" s="14" t="s">
        <v>81</v>
      </c>
      <c r="J28" s="18">
        <f t="shared" ca="1" si="1"/>
        <v>4</v>
      </c>
      <c r="K28" s="18"/>
      <c r="L28" s="18">
        <f>DX-6</f>
        <v>4</v>
      </c>
      <c r="M28" s="18" t="s">
        <v>1</v>
      </c>
      <c r="N28" s="24" t="s">
        <v>37</v>
      </c>
    </row>
    <row r="29" spans="1:14" x14ac:dyDescent="0.25">
      <c r="A29" s="147"/>
      <c r="B29" s="14" t="s">
        <v>176</v>
      </c>
      <c r="C29" s="18">
        <f t="shared" ca="1" si="0"/>
        <v>6</v>
      </c>
      <c r="D29" s="18"/>
      <c r="E29" s="18">
        <f>IQ-4</f>
        <v>6</v>
      </c>
      <c r="F29" s="18" t="s">
        <v>2</v>
      </c>
      <c r="G29" s="18" t="s">
        <v>36</v>
      </c>
      <c r="H29" s="147"/>
      <c r="I29" s="14" t="s">
        <v>84</v>
      </c>
      <c r="J29" s="18">
        <f t="shared" ca="1" si="1"/>
        <v>6</v>
      </c>
      <c r="K29" s="18"/>
      <c r="L29" s="18">
        <f>DX-4</f>
        <v>6</v>
      </c>
      <c r="M29" s="18" t="s">
        <v>1</v>
      </c>
      <c r="N29" s="24" t="s">
        <v>36</v>
      </c>
    </row>
    <row r="30" spans="1:14" x14ac:dyDescent="0.25">
      <c r="A30" s="147"/>
      <c r="B30" s="14" t="s">
        <v>167</v>
      </c>
      <c r="C30" s="18">
        <f t="shared" ca="1" si="0"/>
        <v>5</v>
      </c>
      <c r="D30" s="18"/>
      <c r="E30" s="18">
        <f>IQ-5</f>
        <v>5</v>
      </c>
      <c r="F30" s="18" t="s">
        <v>2</v>
      </c>
      <c r="G30" s="18" t="s">
        <v>42</v>
      </c>
      <c r="H30" s="147"/>
      <c r="I30" s="14" t="s">
        <v>194</v>
      </c>
      <c r="J30" s="18">
        <f t="shared" ca="1" si="1"/>
        <v>6</v>
      </c>
      <c r="K30" s="18"/>
      <c r="L30" s="18">
        <f>DX-4</f>
        <v>6</v>
      </c>
      <c r="M30" s="18" t="s">
        <v>1</v>
      </c>
      <c r="N30" s="24" t="s">
        <v>36</v>
      </c>
    </row>
    <row r="31" spans="1:14" x14ac:dyDescent="0.25">
      <c r="A31" s="147"/>
      <c r="B31" s="14" t="s">
        <v>168</v>
      </c>
      <c r="C31" s="18">
        <f t="shared" ca="1" si="0"/>
        <v>6</v>
      </c>
      <c r="D31" s="18"/>
      <c r="E31" s="18">
        <f>IQ-4</f>
        <v>6</v>
      </c>
      <c r="F31" s="18" t="s">
        <v>2</v>
      </c>
      <c r="G31" s="18" t="s">
        <v>37</v>
      </c>
      <c r="H31" s="147"/>
      <c r="I31" s="14" t="s">
        <v>195</v>
      </c>
      <c r="J31" s="18">
        <f t="shared" ca="1" si="1"/>
        <v>6</v>
      </c>
      <c r="K31" s="18"/>
      <c r="L31" s="18">
        <f>DX-4</f>
        <v>6</v>
      </c>
      <c r="M31" s="18" t="s">
        <v>1</v>
      </c>
      <c r="N31" s="24" t="s">
        <v>36</v>
      </c>
    </row>
    <row r="32" spans="1:14" x14ac:dyDescent="0.25">
      <c r="A32" s="147" t="s">
        <v>55</v>
      </c>
      <c r="B32" s="14" t="s">
        <v>99</v>
      </c>
      <c r="C32" s="18" t="str">
        <f t="shared" ca="1" si="0"/>
        <v>-</v>
      </c>
      <c r="D32" s="18"/>
      <c r="E32" s="18" t="s">
        <v>192</v>
      </c>
      <c r="F32" s="18" t="s">
        <v>2</v>
      </c>
      <c r="G32" s="18" t="s">
        <v>37</v>
      </c>
      <c r="H32" s="147"/>
      <c r="I32" s="14" t="s">
        <v>196</v>
      </c>
      <c r="J32" s="18">
        <f t="shared" ca="1" si="1"/>
        <v>6</v>
      </c>
      <c r="K32" s="18"/>
      <c r="L32" s="18">
        <f>DX-4</f>
        <v>6</v>
      </c>
      <c r="M32" s="18" t="s">
        <v>1</v>
      </c>
      <c r="N32" s="24" t="s">
        <v>36</v>
      </c>
    </row>
    <row r="33" spans="1:14" x14ac:dyDescent="0.25">
      <c r="A33" s="147"/>
      <c r="B33" s="14" t="s">
        <v>189</v>
      </c>
      <c r="C33" s="18" t="str">
        <f t="shared" ca="1" si="0"/>
        <v>-</v>
      </c>
      <c r="D33" s="18"/>
      <c r="E33" s="18" t="s">
        <v>192</v>
      </c>
      <c r="F33" s="18" t="s">
        <v>2</v>
      </c>
      <c r="G33" s="18" t="s">
        <v>43</v>
      </c>
      <c r="H33" s="147"/>
      <c r="I33" s="14" t="s">
        <v>197</v>
      </c>
      <c r="J33" s="18">
        <f t="shared" ca="1" si="1"/>
        <v>6</v>
      </c>
      <c r="K33" s="18"/>
      <c r="L33" s="18">
        <f>DX-4</f>
        <v>6</v>
      </c>
      <c r="M33" s="18" t="s">
        <v>1</v>
      </c>
      <c r="N33" s="24" t="s">
        <v>36</v>
      </c>
    </row>
    <row r="34" spans="1:14" x14ac:dyDescent="0.25">
      <c r="A34" s="147"/>
      <c r="B34" s="14" t="s">
        <v>190</v>
      </c>
      <c r="C34" s="18">
        <f t="shared" ca="1" si="0"/>
        <v>6</v>
      </c>
      <c r="D34" s="18"/>
      <c r="E34" s="18">
        <f>IQ-4</f>
        <v>6</v>
      </c>
      <c r="F34" s="18" t="s">
        <v>2</v>
      </c>
      <c r="G34" s="18" t="s">
        <v>36</v>
      </c>
      <c r="H34" s="147"/>
      <c r="I34" s="14" t="s">
        <v>90</v>
      </c>
      <c r="J34" s="18" t="str">
        <f t="shared" ca="1" si="1"/>
        <v>-</v>
      </c>
      <c r="K34" s="18"/>
      <c r="L34" s="18" t="s">
        <v>192</v>
      </c>
      <c r="M34" s="18" t="s">
        <v>1</v>
      </c>
      <c r="N34" s="24" t="s">
        <v>37</v>
      </c>
    </row>
    <row r="35" spans="1:14" x14ac:dyDescent="0.25">
      <c r="A35" s="147"/>
      <c r="B35" s="14" t="s">
        <v>177</v>
      </c>
      <c r="C35" s="18" t="str">
        <f t="shared" ref="C35:C52" ca="1" si="2">IF(IF(D35=0,MAX(0,E35),INDIRECT(F35)-VLOOKUP(G35,Skill_Difficulty,2,FALSE)+VLOOKUP(D35,Skill_Points,2,TRUE))&lt;=0,"-",IF(D35=0,MAX(0,E35),INDIRECT(F35)-VLOOKUP(G35,Skill_Difficulty,2,FALSE)+VLOOKUP(D35,Skill_Points,2,TRUE)))</f>
        <v>-</v>
      </c>
      <c r="D35" s="18"/>
      <c r="E35" s="18" t="s">
        <v>192</v>
      </c>
      <c r="F35" s="18" t="s">
        <v>2</v>
      </c>
      <c r="G35" s="18" t="s">
        <v>42</v>
      </c>
      <c r="H35" s="147"/>
      <c r="I35" s="14" t="s">
        <v>92</v>
      </c>
      <c r="J35" s="18" t="str">
        <f t="shared" ca="1" si="1"/>
        <v>-</v>
      </c>
      <c r="K35" s="18"/>
      <c r="L35" s="18" t="s">
        <v>192</v>
      </c>
      <c r="M35" s="18" t="s">
        <v>1</v>
      </c>
      <c r="N35" s="24" t="s">
        <v>37</v>
      </c>
    </row>
    <row r="36" spans="1:14" x14ac:dyDescent="0.25">
      <c r="A36" s="147"/>
      <c r="B36" s="14" t="s">
        <v>193</v>
      </c>
      <c r="C36" s="18" t="str">
        <f t="shared" ca="1" si="2"/>
        <v>-</v>
      </c>
      <c r="D36" s="18"/>
      <c r="E36" s="18" t="s">
        <v>192</v>
      </c>
      <c r="F36" s="18" t="s">
        <v>2</v>
      </c>
      <c r="G36" s="18" t="s">
        <v>42</v>
      </c>
      <c r="H36" s="147"/>
      <c r="I36" s="14" t="s">
        <v>93</v>
      </c>
      <c r="J36" s="18">
        <f t="shared" ca="1" si="1"/>
        <v>6</v>
      </c>
      <c r="K36" s="18"/>
      <c r="L36" s="18">
        <f>DX-4</f>
        <v>6</v>
      </c>
      <c r="M36" s="18" t="s">
        <v>1</v>
      </c>
      <c r="N36" s="24" t="s">
        <v>36</v>
      </c>
    </row>
    <row r="37" spans="1:14" x14ac:dyDescent="0.25">
      <c r="A37" s="147"/>
      <c r="B37" s="14" t="s">
        <v>178</v>
      </c>
      <c r="C37" s="18" t="str">
        <f t="shared" ca="1" si="2"/>
        <v>-</v>
      </c>
      <c r="D37" s="18"/>
      <c r="E37" s="18" t="s">
        <v>192</v>
      </c>
      <c r="F37" s="18" t="s">
        <v>2</v>
      </c>
      <c r="G37" s="18" t="s">
        <v>42</v>
      </c>
      <c r="H37" s="147"/>
      <c r="I37" s="14" t="s">
        <v>199</v>
      </c>
      <c r="J37" s="18">
        <f ca="1">IF(IF(K37=0,MAX(0,L37),INDIRECT(M37)-VLOOKUP(N37,Skill_Difficulty,2,FALSE)+VLOOKUP(K37,Skill_Points,2,TRUE))&lt;=0,"-",MIN(IF(K37=0,MAX(0,L37),INDIRECT(M37)-VLOOKUP(N37,Skill_Difficulty,2,FALSE)+VLOOKUP(K37,Skill_Points,2,TRUE)),C7))</f>
        <v>5</v>
      </c>
      <c r="K37" s="18"/>
      <c r="L37" s="18">
        <f ca="1">MAX(DX-5,J48-3)</f>
        <v>5</v>
      </c>
      <c r="M37" s="18" t="s">
        <v>1</v>
      </c>
      <c r="N37" s="24" t="s">
        <v>42</v>
      </c>
    </row>
    <row r="38" spans="1:14" x14ac:dyDescent="0.25">
      <c r="A38" s="147"/>
      <c r="B38" s="14" t="s">
        <v>181</v>
      </c>
      <c r="C38" s="18">
        <f t="shared" ca="1" si="2"/>
        <v>4</v>
      </c>
      <c r="D38" s="18"/>
      <c r="E38" s="18">
        <f ca="1">MAX(IQ-6,C39-4)</f>
        <v>4</v>
      </c>
      <c r="F38" s="18" t="s">
        <v>2</v>
      </c>
      <c r="G38" s="18" t="s">
        <v>37</v>
      </c>
      <c r="H38" s="147"/>
      <c r="I38" s="14" t="s">
        <v>95</v>
      </c>
      <c r="J38" s="18" t="str">
        <f t="shared" ref="J38:J58" ca="1" si="3">IF(IF(K38=0,MAX(0,L38),INDIRECT(M38)-VLOOKUP(N38,Skill_Difficulty,2,FALSE)+VLOOKUP(K38,Skill_Points,2,TRUE))&lt;=0,"-",IF(K38=0,MAX(0,L38),INDIRECT(M38)-VLOOKUP(N38,Skill_Difficulty,2,FALSE)+VLOOKUP(K38,Skill_Points,2,TRUE)))</f>
        <v>-</v>
      </c>
      <c r="K38" s="18"/>
      <c r="L38" s="18" t="s">
        <v>192</v>
      </c>
      <c r="M38" s="18" t="s">
        <v>1</v>
      </c>
      <c r="N38" s="24" t="s">
        <v>42</v>
      </c>
    </row>
    <row r="39" spans="1:14" x14ac:dyDescent="0.25">
      <c r="A39" s="147"/>
      <c r="B39" s="14" t="s">
        <v>185</v>
      </c>
      <c r="C39" s="18">
        <f t="shared" ca="1" si="2"/>
        <v>4</v>
      </c>
      <c r="D39" s="18"/>
      <c r="E39" s="18">
        <f>MAX(IQ-6)</f>
        <v>4</v>
      </c>
      <c r="F39" s="18" t="s">
        <v>2</v>
      </c>
      <c r="G39" s="18" t="s">
        <v>37</v>
      </c>
      <c r="H39" s="147"/>
      <c r="I39" s="14" t="s">
        <v>101</v>
      </c>
      <c r="J39" s="18">
        <f t="shared" ca="1" si="3"/>
        <v>5</v>
      </c>
      <c r="K39" s="18"/>
      <c r="L39" s="18">
        <f>DX-5</f>
        <v>5</v>
      </c>
      <c r="M39" s="18" t="s">
        <v>1</v>
      </c>
      <c r="N39" s="24" t="s">
        <v>42</v>
      </c>
    </row>
    <row r="40" spans="1:14" x14ac:dyDescent="0.25">
      <c r="A40" s="147"/>
      <c r="B40" s="14" t="s">
        <v>180</v>
      </c>
      <c r="C40" s="18">
        <f t="shared" ca="1" si="2"/>
        <v>5</v>
      </c>
      <c r="D40" s="18"/>
      <c r="E40" s="18">
        <f>IQ-5</f>
        <v>5</v>
      </c>
      <c r="F40" s="18" t="s">
        <v>2</v>
      </c>
      <c r="G40" s="18" t="s">
        <v>42</v>
      </c>
      <c r="H40" s="147"/>
      <c r="I40" s="14" t="s">
        <v>105</v>
      </c>
      <c r="J40" s="18">
        <f t="shared" ca="1" si="3"/>
        <v>5</v>
      </c>
      <c r="K40" s="18"/>
      <c r="L40" s="18">
        <f>DX-5</f>
        <v>5</v>
      </c>
      <c r="M40" s="18" t="s">
        <v>1</v>
      </c>
      <c r="N40" s="24" t="s">
        <v>37</v>
      </c>
    </row>
    <row r="41" spans="1:14" x14ac:dyDescent="0.25">
      <c r="A41" s="147"/>
      <c r="B41" s="14" t="s">
        <v>188</v>
      </c>
      <c r="C41" s="18" t="str">
        <f t="shared" ca="1" si="2"/>
        <v>-</v>
      </c>
      <c r="D41" s="18"/>
      <c r="E41" s="18" t="s">
        <v>192</v>
      </c>
      <c r="F41" s="18" t="s">
        <v>2</v>
      </c>
      <c r="G41" s="18" t="s">
        <v>43</v>
      </c>
      <c r="H41" s="147"/>
      <c r="I41" s="14" t="s">
        <v>109</v>
      </c>
      <c r="J41" s="18">
        <f t="shared" ca="1" si="3"/>
        <v>5</v>
      </c>
      <c r="K41" s="18"/>
      <c r="L41" s="18">
        <f>DX-5</f>
        <v>5</v>
      </c>
      <c r="M41" s="18" t="s">
        <v>1</v>
      </c>
      <c r="N41" s="24" t="s">
        <v>42</v>
      </c>
    </row>
    <row r="42" spans="1:14" x14ac:dyDescent="0.25">
      <c r="A42" s="147"/>
      <c r="B42" s="14" t="s">
        <v>182</v>
      </c>
      <c r="C42" s="18">
        <f t="shared" ca="1" si="2"/>
        <v>4</v>
      </c>
      <c r="D42" s="18"/>
      <c r="E42" s="18">
        <f>IQ-6</f>
        <v>4</v>
      </c>
      <c r="F42" s="18" t="s">
        <v>2</v>
      </c>
      <c r="G42" s="18" t="s">
        <v>37</v>
      </c>
      <c r="H42" s="147"/>
      <c r="I42" s="14" t="s">
        <v>114</v>
      </c>
      <c r="J42" s="18">
        <f t="shared" ca="1" si="3"/>
        <v>5</v>
      </c>
      <c r="K42" s="18"/>
      <c r="L42" s="18">
        <f>DX-5</f>
        <v>5</v>
      </c>
      <c r="M42" s="18" t="s">
        <v>1</v>
      </c>
      <c r="N42" s="24" t="s">
        <v>42</v>
      </c>
    </row>
    <row r="43" spans="1:14" x14ac:dyDescent="0.25">
      <c r="A43" s="147"/>
      <c r="B43" s="14" t="s">
        <v>187</v>
      </c>
      <c r="C43" s="18">
        <f t="shared" ca="1" si="2"/>
        <v>4</v>
      </c>
      <c r="D43" s="18"/>
      <c r="E43" s="18">
        <f>IQ-6</f>
        <v>4</v>
      </c>
      <c r="F43" s="18" t="s">
        <v>2</v>
      </c>
      <c r="G43" s="18" t="s">
        <v>37</v>
      </c>
      <c r="H43" s="147"/>
      <c r="I43" s="14" t="s">
        <v>116</v>
      </c>
      <c r="J43" s="18">
        <f t="shared" ca="1" si="3"/>
        <v>5</v>
      </c>
      <c r="K43" s="18"/>
      <c r="L43" s="18">
        <f>DX-5</f>
        <v>5</v>
      </c>
      <c r="M43" s="18" t="s">
        <v>1</v>
      </c>
      <c r="N43" s="24" t="s">
        <v>42</v>
      </c>
    </row>
    <row r="44" spans="1:14" x14ac:dyDescent="0.25">
      <c r="A44" s="147"/>
      <c r="B44" s="14" t="s">
        <v>186</v>
      </c>
      <c r="C44" s="18">
        <f t="shared" ca="1" si="2"/>
        <v>4</v>
      </c>
      <c r="D44" s="18"/>
      <c r="E44" s="18">
        <f>IQ-6</f>
        <v>4</v>
      </c>
      <c r="F44" s="18" t="s">
        <v>2</v>
      </c>
      <c r="G44" s="18" t="s">
        <v>37</v>
      </c>
      <c r="H44" s="147"/>
      <c r="I44" s="14" t="s">
        <v>161</v>
      </c>
      <c r="J44" s="18">
        <f t="shared" ca="1" si="3"/>
        <v>6</v>
      </c>
      <c r="K44" s="18"/>
      <c r="L44" s="18">
        <f>DX-4</f>
        <v>6</v>
      </c>
      <c r="M44" s="18" t="s">
        <v>1</v>
      </c>
      <c r="N44" s="24" t="s">
        <v>36</v>
      </c>
    </row>
    <row r="45" spans="1:14" x14ac:dyDescent="0.25">
      <c r="A45" s="147"/>
      <c r="B45" s="14" t="s">
        <v>298</v>
      </c>
      <c r="C45" s="18">
        <f t="shared" ca="1" si="2"/>
        <v>6</v>
      </c>
      <c r="D45" s="18"/>
      <c r="E45" s="18">
        <f ca="1">MAX(IQ-4,C38-3)</f>
        <v>6</v>
      </c>
      <c r="F45" s="18" t="s">
        <v>2</v>
      </c>
      <c r="G45" s="18" t="s">
        <v>36</v>
      </c>
      <c r="H45" s="147"/>
      <c r="I45" s="14" t="s">
        <v>120</v>
      </c>
      <c r="J45" s="18">
        <f t="shared" ca="1" si="3"/>
        <v>5</v>
      </c>
      <c r="K45" s="18"/>
      <c r="L45" s="18">
        <f>DX-5</f>
        <v>5</v>
      </c>
      <c r="M45" s="18" t="s">
        <v>1</v>
      </c>
      <c r="N45" s="24" t="s">
        <v>42</v>
      </c>
    </row>
    <row r="46" spans="1:14" x14ac:dyDescent="0.25">
      <c r="A46" s="147"/>
      <c r="B46" s="14" t="s">
        <v>179</v>
      </c>
      <c r="C46" s="18" t="str">
        <f t="shared" ca="1" si="2"/>
        <v>-</v>
      </c>
      <c r="D46" s="18"/>
      <c r="E46" s="18" t="s">
        <v>192</v>
      </c>
      <c r="F46" s="18" t="s">
        <v>2</v>
      </c>
      <c r="G46" s="18" t="s">
        <v>42</v>
      </c>
      <c r="H46" s="147"/>
      <c r="I46" s="14" t="s">
        <v>124</v>
      </c>
      <c r="J46" s="18">
        <f t="shared" ca="1" si="3"/>
        <v>4</v>
      </c>
      <c r="K46" s="18"/>
      <c r="L46" s="18">
        <f>DX-6</f>
        <v>4</v>
      </c>
      <c r="M46" s="18" t="s">
        <v>1</v>
      </c>
      <c r="N46" s="24" t="s">
        <v>37</v>
      </c>
    </row>
    <row r="47" spans="1:14" x14ac:dyDescent="0.25">
      <c r="A47" s="147"/>
      <c r="B47" s="14" t="s">
        <v>184</v>
      </c>
      <c r="C47" s="18">
        <f t="shared" ca="1" si="2"/>
        <v>3</v>
      </c>
      <c r="D47" s="18"/>
      <c r="E47" s="18">
        <f>IQ-7</f>
        <v>3</v>
      </c>
      <c r="F47" s="18" t="s">
        <v>2</v>
      </c>
      <c r="G47" s="18" t="s">
        <v>43</v>
      </c>
      <c r="H47" s="147"/>
      <c r="I47" s="14" t="s">
        <v>125</v>
      </c>
      <c r="J47" s="18">
        <f t="shared" ca="1" si="3"/>
        <v>5</v>
      </c>
      <c r="K47" s="18"/>
      <c r="L47" s="18">
        <f>DX-5</f>
        <v>5</v>
      </c>
      <c r="M47" s="18" t="s">
        <v>1</v>
      </c>
      <c r="N47" s="24" t="s">
        <v>42</v>
      </c>
    </row>
    <row r="48" spans="1:14" x14ac:dyDescent="0.25">
      <c r="A48" s="147"/>
      <c r="B48" s="14" t="s">
        <v>183</v>
      </c>
      <c r="C48" s="18">
        <f t="shared" ca="1" si="2"/>
        <v>4</v>
      </c>
      <c r="D48" s="18"/>
      <c r="E48" s="18">
        <f>IQ-6</f>
        <v>4</v>
      </c>
      <c r="F48" s="18" t="s">
        <v>2</v>
      </c>
      <c r="G48" s="18" t="s">
        <v>37</v>
      </c>
      <c r="H48" s="147"/>
      <c r="I48" s="14" t="s">
        <v>126</v>
      </c>
      <c r="J48" s="18">
        <f t="shared" ca="1" si="3"/>
        <v>5</v>
      </c>
      <c r="K48" s="18"/>
      <c r="L48" s="18">
        <f>DX-5</f>
        <v>5</v>
      </c>
      <c r="M48" s="18" t="s">
        <v>1</v>
      </c>
      <c r="N48" s="24" t="s">
        <v>42</v>
      </c>
    </row>
    <row r="49" spans="1:14" x14ac:dyDescent="0.25">
      <c r="A49" s="147"/>
      <c r="B49" s="14" t="s">
        <v>159</v>
      </c>
      <c r="C49" s="18">
        <f t="shared" ca="1" si="2"/>
        <v>5</v>
      </c>
      <c r="D49" s="18"/>
      <c r="E49" s="18">
        <f>IQ-5</f>
        <v>5</v>
      </c>
      <c r="F49" s="18" t="s">
        <v>2</v>
      </c>
      <c r="G49" s="18" t="s">
        <v>42</v>
      </c>
      <c r="H49" s="147"/>
      <c r="I49" s="14" t="s">
        <v>128</v>
      </c>
      <c r="J49" s="18">
        <f t="shared" ca="1" si="3"/>
        <v>5</v>
      </c>
      <c r="K49" s="18"/>
      <c r="L49" s="18">
        <f>DX-5</f>
        <v>5</v>
      </c>
      <c r="M49" s="18" t="s">
        <v>1</v>
      </c>
      <c r="N49" s="24" t="s">
        <v>42</v>
      </c>
    </row>
    <row r="50" spans="1:14" x14ac:dyDescent="0.25">
      <c r="A50" s="147"/>
      <c r="B50" s="14" t="s">
        <v>138</v>
      </c>
      <c r="C50" s="18">
        <f t="shared" ca="1" si="2"/>
        <v>5</v>
      </c>
      <c r="D50" s="18"/>
      <c r="E50" s="18">
        <f>IQ-5</f>
        <v>5</v>
      </c>
      <c r="F50" s="18" t="s">
        <v>2</v>
      </c>
      <c r="G50" s="18" t="s">
        <v>42</v>
      </c>
      <c r="H50" s="147"/>
      <c r="I50" s="14" t="s">
        <v>132</v>
      </c>
      <c r="J50" s="18">
        <f t="shared" ca="1" si="3"/>
        <v>7</v>
      </c>
      <c r="K50" s="18"/>
      <c r="L50" s="18">
        <f>DX-3</f>
        <v>7</v>
      </c>
      <c r="M50" s="18" t="s">
        <v>1</v>
      </c>
      <c r="N50" s="24" t="s">
        <v>42</v>
      </c>
    </row>
    <row r="51" spans="1:14" x14ac:dyDescent="0.25">
      <c r="A51" s="147" t="s">
        <v>75</v>
      </c>
      <c r="B51" s="14" t="s">
        <v>142</v>
      </c>
      <c r="C51" s="18">
        <f t="shared" ca="1" si="2"/>
        <v>4</v>
      </c>
      <c r="D51" s="18"/>
      <c r="E51" s="18">
        <f ca="1">MAX(IQ-6,C52-8)</f>
        <v>4</v>
      </c>
      <c r="F51" s="18" t="s">
        <v>2</v>
      </c>
      <c r="G51" s="18" t="s">
        <v>37</v>
      </c>
      <c r="H51" s="147"/>
      <c r="I51" s="14" t="s">
        <v>164</v>
      </c>
      <c r="J51" s="18">
        <f t="shared" ca="1" si="3"/>
        <v>6</v>
      </c>
      <c r="K51" s="18"/>
      <c r="L51" s="18">
        <f>DX-4</f>
        <v>6</v>
      </c>
      <c r="M51" s="18" t="s">
        <v>1</v>
      </c>
      <c r="N51" s="24" t="s">
        <v>36</v>
      </c>
    </row>
    <row r="52" spans="1:14" x14ac:dyDescent="0.25">
      <c r="A52" s="147"/>
      <c r="B52" s="14" t="s">
        <v>143</v>
      </c>
      <c r="C52" s="18">
        <f t="shared" ca="1" si="2"/>
        <v>6</v>
      </c>
      <c r="D52" s="18"/>
      <c r="E52" s="18">
        <f>IQ-4</f>
        <v>6</v>
      </c>
      <c r="F52" s="18" t="s">
        <v>2</v>
      </c>
      <c r="G52" s="18" t="s">
        <v>36</v>
      </c>
      <c r="H52" s="147"/>
      <c r="I52" s="14" t="s">
        <v>135</v>
      </c>
      <c r="J52" s="18">
        <f t="shared" ca="1" si="3"/>
        <v>5</v>
      </c>
      <c r="K52" s="18"/>
      <c r="L52" s="18">
        <f>DX-5</f>
        <v>5</v>
      </c>
      <c r="M52" s="18" t="s">
        <v>1</v>
      </c>
      <c r="N52" s="24" t="s">
        <v>42</v>
      </c>
    </row>
    <row r="53" spans="1:14" x14ac:dyDescent="0.25">
      <c r="A53" s="147"/>
      <c r="B53" s="14" t="s">
        <v>198</v>
      </c>
      <c r="C53" s="18" t="str">
        <f ca="1">IF(IF(D53=0,MAX(0,E53),INDIRECT(F53)-VLOOKUP(G53,Skill_Difficulty,2,FALSE)+VLOOKUP(D53,Skill_Points,2,TRUE))&lt;=0,"-",MIN(IF(D53=0,MAX(0,E53),INDIRECT(F53)-VLOOKUP(G53,Skill_Difficulty,2,FALSE)+VLOOKUP(D53,Skill_Points,2,TRUE)),C52))</f>
        <v>-</v>
      </c>
      <c r="D53" s="18"/>
      <c r="E53" s="18">
        <f ca="1">C52-12</f>
        <v>-6</v>
      </c>
      <c r="F53" s="18" t="s">
        <v>2</v>
      </c>
      <c r="G53" s="18" t="s">
        <v>43</v>
      </c>
      <c r="H53" s="147"/>
      <c r="I53" s="14" t="s">
        <v>136</v>
      </c>
      <c r="J53" s="18">
        <f t="shared" ca="1" si="3"/>
        <v>4</v>
      </c>
      <c r="K53" s="18"/>
      <c r="L53" s="18">
        <f>DX-6</f>
        <v>4</v>
      </c>
      <c r="M53" s="18" t="s">
        <v>1</v>
      </c>
      <c r="N53" s="24" t="s">
        <v>37</v>
      </c>
    </row>
    <row r="54" spans="1:14" x14ac:dyDescent="0.25">
      <c r="A54" s="147" t="s">
        <v>191</v>
      </c>
      <c r="B54" s="14" t="s">
        <v>73</v>
      </c>
      <c r="C54" s="18">
        <f t="shared" ref="C54:C75" ca="1" si="4">IF(IF(D54=0,MAX(0,E54),INDIRECT(F54)-VLOOKUP(G54,Skill_Difficulty,2,FALSE)+VLOOKUP(D54,Skill_Points,2,TRUE))&lt;=0,"-",IF(D54=0,MAX(0,E54),INDIRECT(F54)-VLOOKUP(G54,Skill_Difficulty,2,FALSE)+VLOOKUP(D54,Skill_Points,2,TRUE)))</f>
        <v>5</v>
      </c>
      <c r="D54" s="18"/>
      <c r="E54" s="18">
        <f>DX-5</f>
        <v>5</v>
      </c>
      <c r="F54" s="18" t="s">
        <v>1</v>
      </c>
      <c r="G54" s="24" t="s">
        <v>42</v>
      </c>
      <c r="H54" s="147"/>
      <c r="I54" s="14" t="s">
        <v>137</v>
      </c>
      <c r="J54" s="18">
        <f t="shared" ca="1" si="3"/>
        <v>5</v>
      </c>
      <c r="K54" s="18"/>
      <c r="L54" s="18">
        <f>DX-5</f>
        <v>5</v>
      </c>
      <c r="M54" s="18" t="s">
        <v>1</v>
      </c>
      <c r="N54" s="24" t="s">
        <v>42</v>
      </c>
    </row>
    <row r="55" spans="1:14" x14ac:dyDescent="0.25">
      <c r="A55" s="147"/>
      <c r="B55" s="14" t="s">
        <v>206</v>
      </c>
      <c r="C55" s="18" t="str">
        <f t="shared" ca="1" si="4"/>
        <v>-</v>
      </c>
      <c r="D55" s="18"/>
      <c r="E55" s="18" t="s">
        <v>192</v>
      </c>
      <c r="F55" s="18" t="s">
        <v>2</v>
      </c>
      <c r="G55" s="24" t="s">
        <v>37</v>
      </c>
      <c r="H55" s="147"/>
      <c r="I55" s="14" t="s">
        <v>139</v>
      </c>
      <c r="J55" s="18">
        <f t="shared" ca="1" si="3"/>
        <v>5</v>
      </c>
      <c r="K55" s="18"/>
      <c r="L55" s="18">
        <f>DX-5</f>
        <v>5</v>
      </c>
      <c r="M55" s="18" t="s">
        <v>1</v>
      </c>
      <c r="N55" s="24" t="s">
        <v>42</v>
      </c>
    </row>
    <row r="56" spans="1:14" x14ac:dyDescent="0.25">
      <c r="A56" s="147"/>
      <c r="B56" s="14" t="s">
        <v>112</v>
      </c>
      <c r="C56" s="18">
        <f t="shared" ca="1" si="4"/>
        <v>5</v>
      </c>
      <c r="D56" s="18"/>
      <c r="E56" s="18">
        <f ca="1">MAX(IQ-5,C62-5)</f>
        <v>5</v>
      </c>
      <c r="F56" s="18" t="s">
        <v>2</v>
      </c>
      <c r="G56" s="24" t="s">
        <v>42</v>
      </c>
      <c r="H56" s="147"/>
      <c r="I56" s="14" t="s">
        <v>140</v>
      </c>
      <c r="J56" s="18" t="str">
        <f t="shared" ca="1" si="3"/>
        <v>-</v>
      </c>
      <c r="K56" s="18"/>
      <c r="L56" s="18" t="s">
        <v>192</v>
      </c>
      <c r="M56" s="18" t="s">
        <v>1</v>
      </c>
      <c r="N56" s="24" t="s">
        <v>42</v>
      </c>
    </row>
    <row r="57" spans="1:14" x14ac:dyDescent="0.25">
      <c r="A57" s="147"/>
      <c r="B57" s="14" t="s">
        <v>121</v>
      </c>
      <c r="C57" s="18">
        <f t="shared" ca="1" si="4"/>
        <v>6</v>
      </c>
      <c r="D57" s="18"/>
      <c r="E57" s="18">
        <f>HT-4</f>
        <v>6</v>
      </c>
      <c r="F57" s="18" t="s">
        <v>3</v>
      </c>
      <c r="G57" s="24" t="s">
        <v>36</v>
      </c>
      <c r="H57" s="147" t="s">
        <v>205</v>
      </c>
      <c r="I57" s="14" t="s">
        <v>151</v>
      </c>
      <c r="J57" s="18">
        <f t="shared" ca="1" si="3"/>
        <v>5</v>
      </c>
      <c r="K57" s="18"/>
      <c r="L57" s="18">
        <f>MAX(DX-5,IQ-5)</f>
        <v>5</v>
      </c>
      <c r="M57" s="18" t="s">
        <v>1</v>
      </c>
      <c r="N57" s="24" t="s">
        <v>42</v>
      </c>
    </row>
    <row r="58" spans="1:14" ht="15.75" thickBot="1" x14ac:dyDescent="0.3">
      <c r="A58" s="147" t="s">
        <v>173</v>
      </c>
      <c r="B58" s="14" t="s">
        <v>214</v>
      </c>
      <c r="C58" s="18" t="str">
        <f t="shared" ca="1" si="4"/>
        <v>-</v>
      </c>
      <c r="D58" s="18"/>
      <c r="E58" s="18" t="s">
        <v>192</v>
      </c>
      <c r="F58" s="18" t="s">
        <v>3</v>
      </c>
      <c r="G58" s="24" t="s">
        <v>43</v>
      </c>
      <c r="H58" s="147"/>
      <c r="I58" s="14" t="s">
        <v>162</v>
      </c>
      <c r="J58" s="18">
        <f t="shared" ca="1" si="3"/>
        <v>4</v>
      </c>
      <c r="K58" s="18"/>
      <c r="L58" s="18">
        <f>IQ-6</f>
        <v>4</v>
      </c>
      <c r="M58" s="18" t="s">
        <v>2</v>
      </c>
      <c r="N58" s="24" t="s">
        <v>37</v>
      </c>
    </row>
    <row r="59" spans="1:14" x14ac:dyDescent="0.25">
      <c r="A59" s="147"/>
      <c r="B59" s="14" t="s">
        <v>60</v>
      </c>
      <c r="C59" s="18">
        <f t="shared" ca="1" si="4"/>
        <v>4</v>
      </c>
      <c r="D59" s="18"/>
      <c r="E59" s="18">
        <f ca="1">MAX(DX-6,C3-3)</f>
        <v>4</v>
      </c>
      <c r="F59" s="18" t="s">
        <v>1</v>
      </c>
      <c r="G59" s="18" t="s">
        <v>37</v>
      </c>
      <c r="H59" s="60"/>
      <c r="I59" s="61"/>
      <c r="J59" s="61"/>
      <c r="K59" s="61"/>
      <c r="L59" s="61"/>
      <c r="M59" s="61"/>
      <c r="N59" s="62"/>
    </row>
    <row r="60" spans="1:14" x14ac:dyDescent="0.25">
      <c r="A60" s="147"/>
      <c r="B60" s="14" t="s">
        <v>102</v>
      </c>
      <c r="C60" s="18">
        <f t="shared" ca="1" si="4"/>
        <v>4</v>
      </c>
      <c r="D60" s="18"/>
      <c r="E60" s="18">
        <f>Will-6</f>
        <v>4</v>
      </c>
      <c r="F60" s="18" t="s">
        <v>4</v>
      </c>
      <c r="G60" s="18" t="s">
        <v>37</v>
      </c>
      <c r="H60" s="63"/>
      <c r="I60" s="64"/>
      <c r="J60" s="64"/>
      <c r="K60" s="64"/>
      <c r="L60" s="64"/>
      <c r="M60" s="64"/>
      <c r="N60" s="65"/>
    </row>
    <row r="61" spans="1:14" x14ac:dyDescent="0.25">
      <c r="A61" s="147"/>
      <c r="B61" s="14" t="s">
        <v>104</v>
      </c>
      <c r="C61" s="18">
        <f t="shared" ca="1" si="4"/>
        <v>5</v>
      </c>
      <c r="D61" s="18"/>
      <c r="E61" s="18">
        <f ca="1">MAX(Will-5,C60-5)</f>
        <v>5</v>
      </c>
      <c r="F61" s="18" t="s">
        <v>4</v>
      </c>
      <c r="G61" s="18" t="s">
        <v>42</v>
      </c>
      <c r="H61" s="63"/>
      <c r="I61" s="64"/>
      <c r="J61" s="64"/>
      <c r="K61" s="64"/>
      <c r="L61" s="64"/>
      <c r="M61" s="64"/>
      <c r="N61" s="65"/>
    </row>
    <row r="62" spans="1:14" x14ac:dyDescent="0.25">
      <c r="A62" s="147" t="s">
        <v>202</v>
      </c>
      <c r="B62" s="14" t="s">
        <v>48</v>
      </c>
      <c r="C62" s="18">
        <f t="shared" ca="1" si="4"/>
        <v>5</v>
      </c>
      <c r="D62" s="18"/>
      <c r="E62" s="18">
        <f>MAX(IQ-5)</f>
        <v>5</v>
      </c>
      <c r="F62" s="18" t="s">
        <v>2</v>
      </c>
      <c r="G62" s="18" t="s">
        <v>42</v>
      </c>
      <c r="H62" s="63"/>
      <c r="I62" s="64"/>
      <c r="J62" s="64"/>
      <c r="K62" s="64"/>
      <c r="L62" s="64"/>
      <c r="M62" s="64"/>
      <c r="N62" s="65"/>
    </row>
    <row r="63" spans="1:14" ht="15.75" thickBot="1" x14ac:dyDescent="0.3">
      <c r="A63" s="147"/>
      <c r="B63" s="14" t="s">
        <v>150</v>
      </c>
      <c r="C63" s="18">
        <f t="shared" ca="1" si="4"/>
        <v>5</v>
      </c>
      <c r="D63" s="18"/>
      <c r="E63" s="18">
        <f>IQ-5</f>
        <v>5</v>
      </c>
      <c r="F63" s="18" t="s">
        <v>2</v>
      </c>
      <c r="G63" s="18" t="s">
        <v>42</v>
      </c>
      <c r="H63" s="63"/>
      <c r="I63" s="64"/>
      <c r="J63" s="64"/>
      <c r="K63" s="64"/>
      <c r="L63" s="64"/>
      <c r="M63" s="64"/>
      <c r="N63" s="65"/>
    </row>
    <row r="64" spans="1:14" ht="15.75" thickBot="1" x14ac:dyDescent="0.3">
      <c r="A64" s="147"/>
      <c r="B64" s="14" t="s">
        <v>74</v>
      </c>
      <c r="C64" s="18">
        <f t="shared" ca="1" si="4"/>
        <v>4</v>
      </c>
      <c r="D64" s="18"/>
      <c r="E64" s="18">
        <f>Per-6</f>
        <v>4</v>
      </c>
      <c r="F64" s="18" t="s">
        <v>5</v>
      </c>
      <c r="G64" s="18" t="s">
        <v>37</v>
      </c>
      <c r="H64" s="63"/>
      <c r="I64" s="64"/>
      <c r="J64" s="14"/>
      <c r="K64" s="151" t="s">
        <v>475</v>
      </c>
      <c r="L64" s="101"/>
      <c r="M64" s="101"/>
      <c r="N64" s="102"/>
    </row>
    <row r="65" spans="1:14" x14ac:dyDescent="0.25">
      <c r="A65" s="147"/>
      <c r="B65" s="14" t="s">
        <v>76</v>
      </c>
      <c r="C65" s="18">
        <f t="shared" ca="1" si="4"/>
        <v>4</v>
      </c>
      <c r="D65" s="18"/>
      <c r="E65" s="18">
        <f ca="1">MAX(IQ-6,C43-6)</f>
        <v>4</v>
      </c>
      <c r="F65" s="18" t="s">
        <v>2</v>
      </c>
      <c r="G65" s="18" t="s">
        <v>37</v>
      </c>
      <c r="H65" s="63"/>
      <c r="I65" s="64"/>
      <c r="J65" s="14"/>
      <c r="K65" s="152" t="s">
        <v>476</v>
      </c>
      <c r="L65" s="153"/>
      <c r="M65" s="153"/>
      <c r="N65" s="44">
        <v>100</v>
      </c>
    </row>
    <row r="66" spans="1:14" ht="15.75" thickBot="1" x14ac:dyDescent="0.3">
      <c r="A66" s="147"/>
      <c r="B66" s="14" t="s">
        <v>152</v>
      </c>
      <c r="C66" s="18">
        <f t="shared" ca="1" si="4"/>
        <v>5</v>
      </c>
      <c r="D66" s="18"/>
      <c r="E66" s="18">
        <f>IQ-5</f>
        <v>5</v>
      </c>
      <c r="F66" s="18" t="s">
        <v>2</v>
      </c>
      <c r="G66" s="18" t="s">
        <v>42</v>
      </c>
      <c r="H66" s="63"/>
      <c r="I66" s="64"/>
      <c r="J66" s="14"/>
      <c r="K66" s="89" t="s">
        <v>477</v>
      </c>
      <c r="L66" s="90"/>
      <c r="M66" s="90"/>
      <c r="N66" s="41">
        <v>0</v>
      </c>
    </row>
    <row r="67" spans="1:14" x14ac:dyDescent="0.25">
      <c r="A67" s="147"/>
      <c r="B67" s="14" t="s">
        <v>78</v>
      </c>
      <c r="C67" s="18">
        <f t="shared" ca="1" si="4"/>
        <v>5</v>
      </c>
      <c r="D67" s="18"/>
      <c r="E67" s="18">
        <f ca="1">MAX(IQ-5,C62-5)</f>
        <v>5</v>
      </c>
      <c r="F67" s="18" t="s">
        <v>2</v>
      </c>
      <c r="G67" s="18" t="s">
        <v>42</v>
      </c>
      <c r="H67" s="63"/>
      <c r="I67" s="64"/>
      <c r="J67" s="14"/>
      <c r="K67" s="87" t="s">
        <v>10</v>
      </c>
      <c r="L67" s="88"/>
      <c r="M67" s="88"/>
      <c r="N67" s="43">
        <f>SUM(Character!E5:E8)</f>
        <v>0</v>
      </c>
    </row>
    <row r="68" spans="1:14" x14ac:dyDescent="0.25">
      <c r="A68" s="147"/>
      <c r="B68" s="14" t="s">
        <v>82</v>
      </c>
      <c r="C68" s="18">
        <f t="shared" ca="1" si="4"/>
        <v>5</v>
      </c>
      <c r="D68" s="18"/>
      <c r="E68" s="18">
        <f>IQ-5</f>
        <v>5</v>
      </c>
      <c r="F68" s="18" t="s">
        <v>2</v>
      </c>
      <c r="G68" s="18" t="s">
        <v>42</v>
      </c>
      <c r="H68" s="63"/>
      <c r="I68" s="64"/>
      <c r="J68" s="14"/>
      <c r="K68" s="87" t="s">
        <v>484</v>
      </c>
      <c r="L68" s="88"/>
      <c r="M68" s="88"/>
      <c r="N68" s="43">
        <f>SUM(Character!E9:E14)</f>
        <v>0</v>
      </c>
    </row>
    <row r="69" spans="1:14" x14ac:dyDescent="0.25">
      <c r="A69" s="147"/>
      <c r="B69" s="14" t="s">
        <v>87</v>
      </c>
      <c r="C69" s="18">
        <f t="shared" ca="1" si="4"/>
        <v>5</v>
      </c>
      <c r="D69" s="18"/>
      <c r="E69" s="18">
        <f ca="1">MAX(IQ-5,C70-3)</f>
        <v>5</v>
      </c>
      <c r="F69" s="18" t="s">
        <v>2</v>
      </c>
      <c r="G69" s="18" t="s">
        <v>42</v>
      </c>
      <c r="H69" s="63"/>
      <c r="I69" s="64"/>
      <c r="J69" s="14"/>
      <c r="K69" s="87" t="s">
        <v>446</v>
      </c>
      <c r="L69" s="88"/>
      <c r="M69" s="88"/>
      <c r="N69" s="43">
        <f>SUM(Talents!C2:C46)</f>
        <v>0</v>
      </c>
    </row>
    <row r="70" spans="1:14" x14ac:dyDescent="0.25">
      <c r="A70" s="147"/>
      <c r="B70" s="14" t="s">
        <v>88</v>
      </c>
      <c r="C70" s="18">
        <f t="shared" ca="1" si="4"/>
        <v>5</v>
      </c>
      <c r="D70" s="18"/>
      <c r="E70" s="18">
        <f ca="1">MAX(Will-5,C62-3)</f>
        <v>5</v>
      </c>
      <c r="F70" s="18" t="s">
        <v>4</v>
      </c>
      <c r="G70" s="18" t="s">
        <v>42</v>
      </c>
      <c r="H70" s="63"/>
      <c r="I70" s="64"/>
      <c r="J70" s="14"/>
      <c r="K70" s="87" t="s">
        <v>478</v>
      </c>
      <c r="L70" s="88"/>
      <c r="M70" s="88"/>
      <c r="N70" s="43">
        <f>SUM(Skills!D3:D75,Skills!K3:K58)</f>
        <v>0</v>
      </c>
    </row>
    <row r="71" spans="1:14" x14ac:dyDescent="0.25">
      <c r="A71" s="147"/>
      <c r="B71" s="14" t="s">
        <v>96</v>
      </c>
      <c r="C71" s="18">
        <f t="shared" ca="1" si="4"/>
        <v>5</v>
      </c>
      <c r="D71" s="18"/>
      <c r="E71" s="18">
        <f>IQ-5</f>
        <v>5</v>
      </c>
      <c r="F71" s="18" t="s">
        <v>2</v>
      </c>
      <c r="G71" s="18" t="s">
        <v>42</v>
      </c>
      <c r="H71" s="63"/>
      <c r="I71" s="64"/>
      <c r="J71" s="14"/>
      <c r="K71" s="87" t="s">
        <v>479</v>
      </c>
      <c r="L71" s="88"/>
      <c r="M71" s="88"/>
      <c r="N71" s="43">
        <v>0</v>
      </c>
    </row>
    <row r="72" spans="1:14" ht="15.75" thickBot="1" x14ac:dyDescent="0.3">
      <c r="A72" s="147"/>
      <c r="B72" s="14" t="s">
        <v>103</v>
      </c>
      <c r="C72" s="18">
        <f t="shared" ca="1" si="4"/>
        <v>5</v>
      </c>
      <c r="D72" s="18"/>
      <c r="E72" s="18">
        <f>IQ-5</f>
        <v>5</v>
      </c>
      <c r="F72" s="18" t="s">
        <v>2</v>
      </c>
      <c r="G72" s="18" t="s">
        <v>42</v>
      </c>
      <c r="H72" s="63"/>
      <c r="I72" s="64"/>
      <c r="J72" s="14"/>
      <c r="K72" s="87" t="s">
        <v>480</v>
      </c>
      <c r="L72" s="88"/>
      <c r="M72" s="88"/>
      <c r="N72" s="43">
        <v>0</v>
      </c>
    </row>
    <row r="73" spans="1:14" x14ac:dyDescent="0.25">
      <c r="A73" s="147"/>
      <c r="B73" s="14" t="s">
        <v>157</v>
      </c>
      <c r="C73" s="18">
        <f t="shared" ca="1" si="4"/>
        <v>4</v>
      </c>
      <c r="D73" s="18"/>
      <c r="E73" s="18">
        <f ca="1">MAX(IQ-6,C44-6,C62-6)</f>
        <v>4</v>
      </c>
      <c r="F73" s="18" t="s">
        <v>2</v>
      </c>
      <c r="G73" s="18" t="s">
        <v>37</v>
      </c>
      <c r="H73" s="63"/>
      <c r="I73" s="64"/>
      <c r="J73" s="14"/>
      <c r="K73" s="152" t="s">
        <v>482</v>
      </c>
      <c r="L73" s="153"/>
      <c r="M73" s="153"/>
      <c r="N73" s="44">
        <f>MAX(SUM(Talents!G2:G39,Talents!K2:K38),-40)</f>
        <v>0</v>
      </c>
    </row>
    <row r="74" spans="1:14" ht="15.75" thickBot="1" x14ac:dyDescent="0.3">
      <c r="A74" s="147"/>
      <c r="B74" s="14" t="s">
        <v>117</v>
      </c>
      <c r="C74" s="18">
        <f t="shared" ca="1" si="4"/>
        <v>6</v>
      </c>
      <c r="D74" s="18"/>
      <c r="E74" s="18">
        <f>Per-4</f>
        <v>6</v>
      </c>
      <c r="F74" s="18" t="s">
        <v>5</v>
      </c>
      <c r="G74" s="18" t="s">
        <v>36</v>
      </c>
      <c r="H74" s="63"/>
      <c r="I74" s="64"/>
      <c r="J74" s="14"/>
      <c r="K74" s="89" t="s">
        <v>483</v>
      </c>
      <c r="L74" s="90"/>
      <c r="M74" s="90"/>
      <c r="N74" s="41">
        <f>SUM(Talents!G42:G46)</f>
        <v>-5</v>
      </c>
    </row>
    <row r="75" spans="1:14" ht="15.75" thickBot="1" x14ac:dyDescent="0.3">
      <c r="A75" s="150"/>
      <c r="B75" s="16" t="s">
        <v>130</v>
      </c>
      <c r="C75" s="35">
        <f t="shared" ca="1" si="4"/>
        <v>5</v>
      </c>
      <c r="D75" s="35"/>
      <c r="E75" s="35">
        <f>IQ-5</f>
        <v>5</v>
      </c>
      <c r="F75" s="35" t="s">
        <v>2</v>
      </c>
      <c r="G75" s="35" t="s">
        <v>42</v>
      </c>
      <c r="H75" s="66"/>
      <c r="I75" s="67"/>
      <c r="J75" s="16"/>
      <c r="K75" s="148" t="s">
        <v>481</v>
      </c>
      <c r="L75" s="149"/>
      <c r="M75" s="149"/>
      <c r="N75" s="45">
        <f>SUM(N65:N66)-SUM(N67:N74)</f>
        <v>105</v>
      </c>
    </row>
    <row r="125" spans="1:1" x14ac:dyDescent="0.25">
      <c r="A125" s="47"/>
    </row>
  </sheetData>
  <mergeCells count="24">
    <mergeCell ref="K74:M74"/>
    <mergeCell ref="K75:M75"/>
    <mergeCell ref="K69:M69"/>
    <mergeCell ref="A62:A75"/>
    <mergeCell ref="A58:A61"/>
    <mergeCell ref="K64:N64"/>
    <mergeCell ref="K70:M70"/>
    <mergeCell ref="K71:M71"/>
    <mergeCell ref="K72:M72"/>
    <mergeCell ref="K73:M73"/>
    <mergeCell ref="K65:M65"/>
    <mergeCell ref="K66:M66"/>
    <mergeCell ref="K67:M67"/>
    <mergeCell ref="K68:M68"/>
    <mergeCell ref="A54:A57"/>
    <mergeCell ref="A32:A50"/>
    <mergeCell ref="A51:A53"/>
    <mergeCell ref="A3:A12"/>
    <mergeCell ref="A1:N1"/>
    <mergeCell ref="H18:H56"/>
    <mergeCell ref="H57:H58"/>
    <mergeCell ref="H3:H17"/>
    <mergeCell ref="A21:A31"/>
    <mergeCell ref="A13:A20"/>
  </mergeCells>
  <printOptions horizontalCentered="1" verticalCentered="1" gridLines="1"/>
  <pageMargins left="0.2" right="0.2" top="0.25" bottom="0.25" header="0.3" footer="0.3"/>
  <pageSetup scale="6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C42E-F418-4F48-B837-793D11848035}">
  <sheetPr>
    <pageSetUpPr fitToPage="1"/>
  </sheetPr>
  <dimension ref="A1:K46"/>
  <sheetViews>
    <sheetView workbookViewId="0">
      <selection activeCell="B7" sqref="B7"/>
    </sheetView>
  </sheetViews>
  <sheetFormatPr defaultRowHeight="15" x14ac:dyDescent="0.25"/>
  <cols>
    <col min="1" max="1" width="21" bestFit="1" customWidth="1"/>
    <col min="2" max="3" width="9.140625" style="1"/>
    <col min="4" max="4" width="2.140625" customWidth="1"/>
    <col min="5" max="5" width="23" bestFit="1" customWidth="1"/>
    <col min="7" max="7" width="9.140625" style="1"/>
    <col min="8" max="8" width="2.28515625" customWidth="1"/>
    <col min="9" max="9" width="23" bestFit="1" customWidth="1"/>
    <col min="11" max="11" width="9.140625" style="1"/>
  </cols>
  <sheetData>
    <row r="1" spans="1:11" ht="15.75" thickBot="1" x14ac:dyDescent="0.3">
      <c r="A1" s="26" t="s">
        <v>446</v>
      </c>
      <c r="B1" s="21" t="s">
        <v>32</v>
      </c>
      <c r="C1" s="22" t="s">
        <v>6</v>
      </c>
      <c r="E1" s="57" t="s">
        <v>447</v>
      </c>
      <c r="F1" s="58" t="s">
        <v>32</v>
      </c>
      <c r="G1" s="59" t="s">
        <v>6</v>
      </c>
      <c r="I1" s="57" t="s">
        <v>447</v>
      </c>
      <c r="J1" s="58" t="s">
        <v>32</v>
      </c>
      <c r="K1" s="59" t="s">
        <v>6</v>
      </c>
    </row>
    <row r="2" spans="1:11" x14ac:dyDescent="0.25">
      <c r="A2" s="20" t="s">
        <v>324</v>
      </c>
      <c r="B2" s="27"/>
      <c r="C2" s="28">
        <f>5*B2</f>
        <v>0</v>
      </c>
      <c r="E2" s="30" t="s">
        <v>356</v>
      </c>
      <c r="F2" s="42"/>
      <c r="G2" s="49">
        <f>-15*F2</f>
        <v>0</v>
      </c>
      <c r="I2" s="30" t="s">
        <v>459</v>
      </c>
      <c r="J2" s="42"/>
      <c r="K2" s="49">
        <f>-10*J2</f>
        <v>0</v>
      </c>
    </row>
    <row r="3" spans="1:11" x14ac:dyDescent="0.25">
      <c r="A3" s="30" t="s">
        <v>327</v>
      </c>
      <c r="B3" s="18"/>
      <c r="C3" s="24">
        <f>25*B3</f>
        <v>0</v>
      </c>
      <c r="E3" s="30" t="s">
        <v>357</v>
      </c>
      <c r="F3" s="42"/>
      <c r="G3" s="49">
        <f>-5*F3</f>
        <v>0</v>
      </c>
      <c r="I3" s="30" t="s">
        <v>401</v>
      </c>
      <c r="J3" s="42"/>
      <c r="K3" s="49">
        <f>-10*J3</f>
        <v>0</v>
      </c>
    </row>
    <row r="4" spans="1:11" x14ac:dyDescent="0.25">
      <c r="A4" s="30" t="s">
        <v>331</v>
      </c>
      <c r="B4" s="18"/>
      <c r="C4" s="24">
        <f>2*B4</f>
        <v>0</v>
      </c>
      <c r="E4" s="30" t="s">
        <v>359</v>
      </c>
      <c r="F4" s="42"/>
      <c r="G4" s="49">
        <f>-15*F4</f>
        <v>0</v>
      </c>
      <c r="I4" s="30" t="s">
        <v>460</v>
      </c>
      <c r="J4" s="42"/>
      <c r="K4" s="49">
        <f>-15*J4</f>
        <v>0</v>
      </c>
    </row>
    <row r="5" spans="1:11" x14ac:dyDescent="0.25">
      <c r="A5" s="30" t="s">
        <v>336</v>
      </c>
      <c r="B5" s="18"/>
      <c r="C5" s="24">
        <f>2*B5</f>
        <v>0</v>
      </c>
      <c r="E5" s="30" t="s">
        <v>360</v>
      </c>
      <c r="F5" s="42"/>
      <c r="G5" s="49">
        <f>-15*F5</f>
        <v>0</v>
      </c>
      <c r="I5" s="30" t="s">
        <v>403</v>
      </c>
      <c r="J5" s="42"/>
      <c r="K5" s="49">
        <f>-5*J5</f>
        <v>0</v>
      </c>
    </row>
    <row r="6" spans="1:11" x14ac:dyDescent="0.25">
      <c r="A6" s="30" t="s">
        <v>341</v>
      </c>
      <c r="B6" s="18"/>
      <c r="C6" s="24">
        <f>10*B6</f>
        <v>0</v>
      </c>
      <c r="E6" s="30" t="s">
        <v>361</v>
      </c>
      <c r="F6" s="42"/>
      <c r="G6" s="49">
        <f>-5*F6</f>
        <v>0</v>
      </c>
      <c r="I6" s="30" t="s">
        <v>404</v>
      </c>
      <c r="J6" s="42"/>
      <c r="K6" s="49">
        <f>-10*J6</f>
        <v>0</v>
      </c>
    </row>
    <row r="7" spans="1:11" x14ac:dyDescent="0.25">
      <c r="A7" s="30" t="s">
        <v>342</v>
      </c>
      <c r="B7" s="18"/>
      <c r="C7" s="24">
        <f>2*B7</f>
        <v>0</v>
      </c>
      <c r="E7" s="30" t="s">
        <v>362</v>
      </c>
      <c r="F7" s="42"/>
      <c r="G7" s="49">
        <f>-25*F7</f>
        <v>0</v>
      </c>
      <c r="I7" s="30" t="s">
        <v>405</v>
      </c>
      <c r="J7" s="42"/>
      <c r="K7" s="49">
        <f>-3*J7</f>
        <v>0</v>
      </c>
    </row>
    <row r="8" spans="1:11" x14ac:dyDescent="0.25">
      <c r="A8" s="30" t="s">
        <v>344</v>
      </c>
      <c r="B8" s="18"/>
      <c r="C8" s="24">
        <f>2*B8</f>
        <v>0</v>
      </c>
      <c r="E8" s="30" t="s">
        <v>363</v>
      </c>
      <c r="F8" s="42"/>
      <c r="G8" s="49">
        <f>-10*F8</f>
        <v>0</v>
      </c>
      <c r="I8" s="30" t="s">
        <v>461</v>
      </c>
      <c r="J8" s="42"/>
      <c r="K8" s="49">
        <f>-10*J8</f>
        <v>0</v>
      </c>
    </row>
    <row r="9" spans="1:11" ht="15.75" thickBot="1" x14ac:dyDescent="0.3">
      <c r="A9" s="33" t="s">
        <v>348</v>
      </c>
      <c r="B9" s="35"/>
      <c r="C9" s="29">
        <f>1*B9</f>
        <v>0</v>
      </c>
      <c r="E9" s="30" t="s">
        <v>448</v>
      </c>
      <c r="F9" s="42"/>
      <c r="G9" s="49">
        <f>-10*F9</f>
        <v>0</v>
      </c>
      <c r="I9" s="30" t="s">
        <v>408</v>
      </c>
      <c r="J9" s="42"/>
      <c r="K9" s="49">
        <f>-2*J9</f>
        <v>0</v>
      </c>
    </row>
    <row r="10" spans="1:11" x14ac:dyDescent="0.25">
      <c r="A10" s="30" t="s">
        <v>304</v>
      </c>
      <c r="B10" s="18"/>
      <c r="C10" s="24">
        <f>5*B10</f>
        <v>0</v>
      </c>
      <c r="E10" s="30" t="s">
        <v>366</v>
      </c>
      <c r="F10" s="42"/>
      <c r="G10" s="49">
        <f>-50*F10</f>
        <v>0</v>
      </c>
      <c r="I10" s="30" t="s">
        <v>409</v>
      </c>
      <c r="J10" s="42"/>
      <c r="K10" s="49">
        <f>-10*J10</f>
        <v>0</v>
      </c>
    </row>
    <row r="11" spans="1:11" x14ac:dyDescent="0.25">
      <c r="A11" s="30" t="s">
        <v>307</v>
      </c>
      <c r="B11" s="18"/>
      <c r="C11" s="24">
        <f>2*B11</f>
        <v>0</v>
      </c>
      <c r="E11" s="30" t="s">
        <v>449</v>
      </c>
      <c r="F11" s="42"/>
      <c r="G11" s="49">
        <f>-10*F11</f>
        <v>0</v>
      </c>
      <c r="I11" s="30" t="s">
        <v>410</v>
      </c>
      <c r="J11" s="42"/>
      <c r="K11" s="49">
        <f>-15*J11</f>
        <v>0</v>
      </c>
    </row>
    <row r="12" spans="1:11" x14ac:dyDescent="0.25">
      <c r="A12" s="30" t="s">
        <v>309</v>
      </c>
      <c r="B12" s="18"/>
      <c r="C12" s="24">
        <f>2*B12</f>
        <v>0</v>
      </c>
      <c r="E12" s="30" t="s">
        <v>450</v>
      </c>
      <c r="F12" s="42"/>
      <c r="G12" s="49">
        <f>-10*F12</f>
        <v>0</v>
      </c>
      <c r="I12" s="30" t="s">
        <v>411</v>
      </c>
      <c r="J12" s="42"/>
      <c r="K12" s="49">
        <f>-10*J12</f>
        <v>0</v>
      </c>
    </row>
    <row r="13" spans="1:11" x14ac:dyDescent="0.25">
      <c r="A13" s="30" t="s">
        <v>310</v>
      </c>
      <c r="B13" s="18"/>
      <c r="C13" s="24">
        <f>2*B13</f>
        <v>0</v>
      </c>
      <c r="E13" s="30" t="s">
        <v>369</v>
      </c>
      <c r="F13" s="42"/>
      <c r="G13" s="49">
        <f>-5*F13</f>
        <v>0</v>
      </c>
      <c r="I13" s="30" t="s">
        <v>462</v>
      </c>
      <c r="J13" s="42"/>
      <c r="K13" s="49">
        <f>-5*J13</f>
        <v>0</v>
      </c>
    </row>
    <row r="14" spans="1:11" x14ac:dyDescent="0.25">
      <c r="A14" s="30" t="s">
        <v>311</v>
      </c>
      <c r="B14" s="18"/>
      <c r="C14" s="24">
        <f>2*B14</f>
        <v>0</v>
      </c>
      <c r="E14" s="30" t="s">
        <v>370</v>
      </c>
      <c r="F14" s="42"/>
      <c r="G14" s="49">
        <f>-15*F14</f>
        <v>0</v>
      </c>
      <c r="I14" s="30" t="s">
        <v>413</v>
      </c>
      <c r="J14" s="42"/>
      <c r="K14" s="49">
        <f>-15*J14</f>
        <v>0</v>
      </c>
    </row>
    <row r="15" spans="1:11" x14ac:dyDescent="0.25">
      <c r="A15" s="30" t="s">
        <v>314</v>
      </c>
      <c r="B15" s="18"/>
      <c r="C15" s="24">
        <f>5*B15</f>
        <v>0</v>
      </c>
      <c r="E15" s="30" t="s">
        <v>451</v>
      </c>
      <c r="F15" s="42"/>
      <c r="G15" s="49">
        <f>-15*F15</f>
        <v>0</v>
      </c>
      <c r="I15" s="30" t="s">
        <v>414</v>
      </c>
      <c r="J15" s="42"/>
      <c r="K15" s="49">
        <f>-5*J15</f>
        <v>0</v>
      </c>
    </row>
    <row r="16" spans="1:11" x14ac:dyDescent="0.25">
      <c r="A16" s="30" t="s">
        <v>315</v>
      </c>
      <c r="B16" s="18"/>
      <c r="C16" s="24">
        <f>5*B16</f>
        <v>0</v>
      </c>
      <c r="E16" s="30" t="s">
        <v>373</v>
      </c>
      <c r="F16" s="42"/>
      <c r="G16" s="49">
        <f>-5*F16</f>
        <v>0</v>
      </c>
      <c r="I16" s="30" t="s">
        <v>415</v>
      </c>
      <c r="J16" s="42"/>
      <c r="K16" s="49">
        <f>-5*J16</f>
        <v>0</v>
      </c>
    </row>
    <row r="17" spans="1:11" x14ac:dyDescent="0.25">
      <c r="A17" s="30" t="s">
        <v>318</v>
      </c>
      <c r="B17" s="18"/>
      <c r="C17" s="24">
        <f>10*B17</f>
        <v>0</v>
      </c>
      <c r="E17" s="30" t="s">
        <v>374</v>
      </c>
      <c r="F17" s="42"/>
      <c r="G17" s="49">
        <f>-5*F17</f>
        <v>0</v>
      </c>
      <c r="I17" s="30" t="s">
        <v>416</v>
      </c>
      <c r="J17" s="42"/>
      <c r="K17" s="49">
        <f>-20*J17</f>
        <v>0</v>
      </c>
    </row>
    <row r="18" spans="1:11" x14ac:dyDescent="0.25">
      <c r="A18" s="30" t="s">
        <v>319</v>
      </c>
      <c r="B18" s="18"/>
      <c r="C18" s="24">
        <f>5*B18</f>
        <v>0</v>
      </c>
      <c r="E18" s="30" t="s">
        <v>375</v>
      </c>
      <c r="F18" s="42"/>
      <c r="G18" s="49">
        <f>-10*F18</f>
        <v>0</v>
      </c>
      <c r="I18" s="30" t="s">
        <v>417</v>
      </c>
      <c r="J18" s="42"/>
      <c r="K18" s="49">
        <f>-15*J18</f>
        <v>0</v>
      </c>
    </row>
    <row r="19" spans="1:11" x14ac:dyDescent="0.25">
      <c r="A19" s="30" t="s">
        <v>320</v>
      </c>
      <c r="B19" s="18"/>
      <c r="C19" s="24">
        <f>5*B19</f>
        <v>0</v>
      </c>
      <c r="E19" s="30" t="s">
        <v>376</v>
      </c>
      <c r="F19" s="42"/>
      <c r="G19" s="49">
        <f>-10*F19</f>
        <v>0</v>
      </c>
      <c r="I19" s="30" t="s">
        <v>418</v>
      </c>
      <c r="J19" s="42"/>
      <c r="K19" s="49">
        <f>-15*J19</f>
        <v>0</v>
      </c>
    </row>
    <row r="20" spans="1:11" x14ac:dyDescent="0.25">
      <c r="A20" s="30" t="s">
        <v>321</v>
      </c>
      <c r="B20" s="18"/>
      <c r="C20" s="24">
        <f>15*B20</f>
        <v>0</v>
      </c>
      <c r="E20" s="30" t="s">
        <v>378</v>
      </c>
      <c r="F20" s="42"/>
      <c r="G20" s="49">
        <f>-5*F20</f>
        <v>0</v>
      </c>
      <c r="I20" s="30" t="s">
        <v>463</v>
      </c>
      <c r="J20" s="42"/>
      <c r="K20" s="49">
        <f>-5*J20</f>
        <v>0</v>
      </c>
    </row>
    <row r="21" spans="1:11" x14ac:dyDescent="0.25">
      <c r="A21" s="30" t="s">
        <v>322</v>
      </c>
      <c r="B21" s="18"/>
      <c r="C21" s="24">
        <f>10*B21</f>
        <v>0</v>
      </c>
      <c r="E21" s="30" t="s">
        <v>379</v>
      </c>
      <c r="F21" s="42"/>
      <c r="G21" s="49">
        <f>-15*F21</f>
        <v>0</v>
      </c>
      <c r="I21" s="30" t="s">
        <v>420</v>
      </c>
      <c r="J21" s="42"/>
      <c r="K21" s="49">
        <f>-5*J21</f>
        <v>0</v>
      </c>
    </row>
    <row r="22" spans="1:11" x14ac:dyDescent="0.25">
      <c r="A22" s="30" t="s">
        <v>325</v>
      </c>
      <c r="B22" s="18"/>
      <c r="C22" s="24">
        <f>15*B22</f>
        <v>0</v>
      </c>
      <c r="E22" s="30" t="s">
        <v>452</v>
      </c>
      <c r="F22" s="42"/>
      <c r="G22" s="49">
        <f>-5*F22</f>
        <v>0</v>
      </c>
      <c r="I22" s="30" t="s">
        <v>421</v>
      </c>
      <c r="J22" s="42"/>
      <c r="K22" s="49">
        <f>-10*J22</f>
        <v>0</v>
      </c>
    </row>
    <row r="23" spans="1:11" x14ac:dyDescent="0.25">
      <c r="A23" s="30" t="s">
        <v>329</v>
      </c>
      <c r="B23" s="18"/>
      <c r="C23" s="24">
        <f>5*B23</f>
        <v>0</v>
      </c>
      <c r="E23" s="30" t="s">
        <v>453</v>
      </c>
      <c r="F23" s="42"/>
      <c r="G23" s="49">
        <f>-10*F23</f>
        <v>0</v>
      </c>
      <c r="I23" s="30" t="s">
        <v>464</v>
      </c>
      <c r="J23" s="42"/>
      <c r="K23" s="49">
        <f>-5*J23</f>
        <v>0</v>
      </c>
    </row>
    <row r="24" spans="1:11" x14ac:dyDescent="0.25">
      <c r="A24" s="30" t="s">
        <v>330</v>
      </c>
      <c r="B24" s="18"/>
      <c r="C24" s="24">
        <f>5*B24</f>
        <v>0</v>
      </c>
      <c r="E24" s="30" t="s">
        <v>454</v>
      </c>
      <c r="F24" s="42"/>
      <c r="G24" s="49">
        <f>-5*F24</f>
        <v>0</v>
      </c>
      <c r="I24" s="30" t="s">
        <v>465</v>
      </c>
      <c r="J24" s="42"/>
      <c r="K24" s="49">
        <f>-5*J24</f>
        <v>0</v>
      </c>
    </row>
    <row r="25" spans="1:11" x14ac:dyDescent="0.25">
      <c r="A25" s="30" t="s">
        <v>440</v>
      </c>
      <c r="B25" s="18"/>
      <c r="C25" s="24">
        <f>5*B25</f>
        <v>0</v>
      </c>
      <c r="E25" s="30" t="s">
        <v>384</v>
      </c>
      <c r="F25" s="42"/>
      <c r="G25" s="49">
        <f>-20*F25</f>
        <v>0</v>
      </c>
      <c r="I25" s="30" t="s">
        <v>424</v>
      </c>
      <c r="J25" s="42"/>
      <c r="K25" s="49">
        <f>-15*J25</f>
        <v>0</v>
      </c>
    </row>
    <row r="26" spans="1:11" x14ac:dyDescent="0.25">
      <c r="A26" s="30" t="s">
        <v>441</v>
      </c>
      <c r="B26" s="18"/>
      <c r="C26" s="24">
        <f>15*B26</f>
        <v>0</v>
      </c>
      <c r="E26" s="30" t="s">
        <v>385</v>
      </c>
      <c r="F26" s="42"/>
      <c r="G26" s="49">
        <f>-5*F26</f>
        <v>0</v>
      </c>
      <c r="I26" s="30" t="s">
        <v>466</v>
      </c>
      <c r="J26" s="42"/>
      <c r="K26" s="49">
        <f>-5*J26</f>
        <v>0</v>
      </c>
    </row>
    <row r="27" spans="1:11" x14ac:dyDescent="0.25">
      <c r="A27" s="30" t="s">
        <v>442</v>
      </c>
      <c r="B27" s="18"/>
      <c r="C27" s="24">
        <f>5*B27</f>
        <v>0</v>
      </c>
      <c r="E27" s="30" t="s">
        <v>386</v>
      </c>
      <c r="F27" s="42"/>
      <c r="G27" s="49">
        <f>-5*F27</f>
        <v>0</v>
      </c>
      <c r="I27" s="30" t="s">
        <v>467</v>
      </c>
      <c r="J27" s="42"/>
      <c r="K27" s="49">
        <f>-5*J27</f>
        <v>0</v>
      </c>
    </row>
    <row r="28" spans="1:11" x14ac:dyDescent="0.25">
      <c r="A28" s="30" t="s">
        <v>332</v>
      </c>
      <c r="B28" s="18"/>
      <c r="C28" s="24">
        <f>2*B28</f>
        <v>0</v>
      </c>
      <c r="E28" s="30" t="s">
        <v>387</v>
      </c>
      <c r="F28" s="42"/>
      <c r="G28" s="49">
        <f>-2*F28</f>
        <v>0</v>
      </c>
      <c r="I28" s="30" t="s">
        <v>468</v>
      </c>
      <c r="J28" s="42"/>
      <c r="K28" s="49">
        <f>-10*J28</f>
        <v>0</v>
      </c>
    </row>
    <row r="29" spans="1:11" x14ac:dyDescent="0.25">
      <c r="A29" s="30" t="s">
        <v>333</v>
      </c>
      <c r="B29" s="18"/>
      <c r="C29" s="24">
        <f>5*B29</f>
        <v>0</v>
      </c>
      <c r="E29" s="30" t="s">
        <v>389</v>
      </c>
      <c r="F29" s="42"/>
      <c r="G29" s="49">
        <f>-10*F29</f>
        <v>0</v>
      </c>
      <c r="I29" s="30" t="s">
        <v>469</v>
      </c>
      <c r="J29" s="42"/>
      <c r="K29" s="49">
        <f>-5*J29</f>
        <v>0</v>
      </c>
    </row>
    <row r="30" spans="1:11" x14ac:dyDescent="0.25">
      <c r="A30" s="30" t="s">
        <v>334</v>
      </c>
      <c r="B30" s="18"/>
      <c r="C30" s="24">
        <f>5*B30</f>
        <v>0</v>
      </c>
      <c r="E30" s="30" t="s">
        <v>390</v>
      </c>
      <c r="F30" s="42"/>
      <c r="G30" s="49">
        <f>-30*F30</f>
        <v>0</v>
      </c>
      <c r="I30" s="30" t="s">
        <v>429</v>
      </c>
      <c r="J30" s="42"/>
      <c r="K30" s="49">
        <f>-5*J30</f>
        <v>0</v>
      </c>
    </row>
    <row r="31" spans="1:11" x14ac:dyDescent="0.25">
      <c r="A31" s="30" t="s">
        <v>335</v>
      </c>
      <c r="B31" s="18"/>
      <c r="C31" s="24">
        <f>5*B31</f>
        <v>0</v>
      </c>
      <c r="E31" s="30" t="s">
        <v>391</v>
      </c>
      <c r="F31" s="42"/>
      <c r="G31" s="49">
        <f>-2*F31</f>
        <v>0</v>
      </c>
      <c r="I31" s="30" t="s">
        <v>430</v>
      </c>
      <c r="J31" s="42"/>
      <c r="K31" s="49">
        <f>-5*J31</f>
        <v>0</v>
      </c>
    </row>
    <row r="32" spans="1:11" x14ac:dyDescent="0.25">
      <c r="A32" s="30" t="s">
        <v>337</v>
      </c>
      <c r="B32" s="18"/>
      <c r="C32" s="24">
        <f>2*B32</f>
        <v>0</v>
      </c>
      <c r="E32" s="30" t="s">
        <v>392</v>
      </c>
      <c r="F32" s="42"/>
      <c r="G32" s="49">
        <f>-2*F32</f>
        <v>0</v>
      </c>
      <c r="I32" s="30" t="s">
        <v>431</v>
      </c>
      <c r="J32" s="42"/>
      <c r="K32" s="49">
        <f>-5*J32</f>
        <v>0</v>
      </c>
    </row>
    <row r="33" spans="1:11" x14ac:dyDescent="0.25">
      <c r="A33" s="30" t="s">
        <v>338</v>
      </c>
      <c r="B33" s="18"/>
      <c r="C33" s="24">
        <f>10*B33</f>
        <v>0</v>
      </c>
      <c r="E33" s="30" t="s">
        <v>455</v>
      </c>
      <c r="F33" s="42"/>
      <c r="G33" s="49">
        <f>-5*F33</f>
        <v>0</v>
      </c>
      <c r="I33" s="30" t="s">
        <v>470</v>
      </c>
      <c r="J33" s="42"/>
      <c r="K33" s="49">
        <f>-10*J33</f>
        <v>0</v>
      </c>
    </row>
    <row r="34" spans="1:11" x14ac:dyDescent="0.25">
      <c r="A34" s="30" t="s">
        <v>339</v>
      </c>
      <c r="B34" s="18"/>
      <c r="C34" s="24">
        <f>5*B34</f>
        <v>0</v>
      </c>
      <c r="E34" s="30" t="s">
        <v>456</v>
      </c>
      <c r="F34" s="42"/>
      <c r="G34" s="49">
        <f>-15*F34</f>
        <v>0</v>
      </c>
      <c r="I34" s="30" t="s">
        <v>433</v>
      </c>
      <c r="J34" s="42"/>
      <c r="K34" s="49">
        <f>-5*J34</f>
        <v>0</v>
      </c>
    </row>
    <row r="35" spans="1:11" x14ac:dyDescent="0.25">
      <c r="A35" s="30" t="s">
        <v>340</v>
      </c>
      <c r="B35" s="18"/>
      <c r="C35" s="24">
        <f>10*B35</f>
        <v>0</v>
      </c>
      <c r="E35" s="30" t="s">
        <v>457</v>
      </c>
      <c r="F35" s="42"/>
      <c r="G35" s="49">
        <f>-10*F35</f>
        <v>0</v>
      </c>
      <c r="I35" s="30" t="s">
        <v>471</v>
      </c>
      <c r="J35" s="42"/>
      <c r="K35" s="49">
        <f>-5*J35</f>
        <v>0</v>
      </c>
    </row>
    <row r="36" spans="1:11" x14ac:dyDescent="0.25">
      <c r="A36" s="30" t="s">
        <v>343</v>
      </c>
      <c r="B36" s="18"/>
      <c r="C36" s="24">
        <f>2*B36</f>
        <v>0</v>
      </c>
      <c r="E36" s="30" t="s">
        <v>396</v>
      </c>
      <c r="F36" s="42"/>
      <c r="G36" s="49">
        <f>-5*F36</f>
        <v>0</v>
      </c>
      <c r="I36" s="30" t="s">
        <v>435</v>
      </c>
      <c r="J36" s="42"/>
      <c r="K36" s="49">
        <f>-5*J36</f>
        <v>0</v>
      </c>
    </row>
    <row r="37" spans="1:11" x14ac:dyDescent="0.25">
      <c r="A37" s="30" t="s">
        <v>345</v>
      </c>
      <c r="B37" s="18"/>
      <c r="C37" s="24">
        <f>15*B37</f>
        <v>0</v>
      </c>
      <c r="E37" s="30" t="s">
        <v>397</v>
      </c>
      <c r="F37" s="42"/>
      <c r="G37" s="49">
        <f>-10*F37</f>
        <v>0</v>
      </c>
      <c r="I37" s="30" t="s">
        <v>436</v>
      </c>
      <c r="J37" s="42"/>
      <c r="K37" s="49">
        <f>-10*J37</f>
        <v>0</v>
      </c>
    </row>
    <row r="38" spans="1:11" ht="15.75" thickBot="1" x14ac:dyDescent="0.3">
      <c r="A38" s="46" t="s">
        <v>346</v>
      </c>
      <c r="B38" s="18"/>
      <c r="C38" s="24">
        <f>MAX(5*B38+5*(B38-1),0)</f>
        <v>0</v>
      </c>
      <c r="E38" s="30" t="s">
        <v>398</v>
      </c>
      <c r="F38" s="42"/>
      <c r="G38" s="49">
        <f>-30*F38</f>
        <v>0</v>
      </c>
      <c r="I38" s="33" t="s">
        <v>437</v>
      </c>
      <c r="J38" s="40"/>
      <c r="K38" s="51">
        <f>-5*J38</f>
        <v>0</v>
      </c>
    </row>
    <row r="39" spans="1:11" ht="15.75" thickBot="1" x14ac:dyDescent="0.3">
      <c r="A39" s="30" t="s">
        <v>347</v>
      </c>
      <c r="B39" s="18"/>
      <c r="C39" s="24">
        <f>2*B39</f>
        <v>0</v>
      </c>
      <c r="E39" s="33" t="s">
        <v>458</v>
      </c>
      <c r="F39" s="40"/>
      <c r="G39" s="51">
        <f>-10*F39</f>
        <v>0</v>
      </c>
    </row>
    <row r="40" spans="1:11" ht="15.75" thickBot="1" x14ac:dyDescent="0.3">
      <c r="A40" s="30" t="s">
        <v>349</v>
      </c>
      <c r="B40" s="18"/>
      <c r="C40" s="24">
        <f>15*B40</f>
        <v>0</v>
      </c>
    </row>
    <row r="41" spans="1:11" x14ac:dyDescent="0.25">
      <c r="A41" s="46" t="s">
        <v>350</v>
      </c>
      <c r="B41" s="18"/>
      <c r="C41" s="24">
        <f>10*B41</f>
        <v>0</v>
      </c>
      <c r="E41" s="100" t="s">
        <v>485</v>
      </c>
      <c r="F41" s="91"/>
      <c r="G41" s="54" t="s">
        <v>6</v>
      </c>
    </row>
    <row r="42" spans="1:11" x14ac:dyDescent="0.25">
      <c r="A42" s="30" t="s">
        <v>351</v>
      </c>
      <c r="B42" s="18"/>
      <c r="C42" s="24">
        <f>5*B42</f>
        <v>0</v>
      </c>
      <c r="E42" s="87"/>
      <c r="F42" s="88"/>
      <c r="G42" s="49">
        <v>-1</v>
      </c>
    </row>
    <row r="43" spans="1:11" x14ac:dyDescent="0.25">
      <c r="A43" s="46" t="s">
        <v>352</v>
      </c>
      <c r="B43" s="18"/>
      <c r="C43" s="24">
        <f>30*B43</f>
        <v>0</v>
      </c>
      <c r="E43" s="87"/>
      <c r="F43" s="88"/>
      <c r="G43" s="49">
        <v>-1</v>
      </c>
    </row>
    <row r="44" spans="1:11" x14ac:dyDescent="0.25">
      <c r="A44" s="30" t="s">
        <v>353</v>
      </c>
      <c r="B44" s="18"/>
      <c r="C44" s="24">
        <f>15*B44</f>
        <v>0</v>
      </c>
      <c r="E44" s="87"/>
      <c r="F44" s="88"/>
      <c r="G44" s="49">
        <v>-1</v>
      </c>
    </row>
    <row r="45" spans="1:11" x14ac:dyDescent="0.25">
      <c r="A45" s="30" t="s">
        <v>354</v>
      </c>
      <c r="B45" s="18"/>
      <c r="C45" s="24">
        <f>15*B45</f>
        <v>0</v>
      </c>
      <c r="E45" s="87"/>
      <c r="F45" s="88"/>
      <c r="G45" s="49">
        <v>-1</v>
      </c>
    </row>
    <row r="46" spans="1:11" ht="15.75" thickBot="1" x14ac:dyDescent="0.3">
      <c r="A46" s="33" t="s">
        <v>355</v>
      </c>
      <c r="B46" s="35"/>
      <c r="C46" s="29">
        <f>10*B46</f>
        <v>0</v>
      </c>
      <c r="E46" s="89"/>
      <c r="F46" s="90"/>
      <c r="G46" s="51">
        <v>-1</v>
      </c>
    </row>
  </sheetData>
  <mergeCells count="6">
    <mergeCell ref="E46:F46"/>
    <mergeCell ref="E41:F41"/>
    <mergeCell ref="E42:F42"/>
    <mergeCell ref="E43:F43"/>
    <mergeCell ref="E44:F44"/>
    <mergeCell ref="E45:F45"/>
  </mergeCells>
  <conditionalFormatting sqref="B2">
    <cfRule type="cellIs" dxfId="18" priority="20" operator="greaterThan">
      <formula>2</formula>
    </cfRule>
  </conditionalFormatting>
  <conditionalFormatting sqref="B3 B6 B8 B10 B15:B17 B29:B30 B35:B37 B40 B42:B46 B19:B27 F39 J2:J6">
    <cfRule type="cellIs" dxfId="17" priority="19" operator="greaterThan">
      <formula>1</formula>
    </cfRule>
  </conditionalFormatting>
  <conditionalFormatting sqref="B39 B31:B34 B28 B18 B11:B14 B9 B7 B4:B5">
    <cfRule type="cellIs" dxfId="16" priority="18" operator="greaterThan">
      <formula>2</formula>
    </cfRule>
  </conditionalFormatting>
  <conditionalFormatting sqref="B41">
    <cfRule type="cellIs" dxfId="15" priority="17" operator="greaterThan">
      <formula>4</formula>
    </cfRule>
  </conditionalFormatting>
  <conditionalFormatting sqref="B38">
    <cfRule type="cellIs" dxfId="14" priority="16" operator="greaterThan">
      <formula>5</formula>
    </cfRule>
  </conditionalFormatting>
  <conditionalFormatting sqref="F2:F8">
    <cfRule type="cellIs" dxfId="13" priority="15" operator="greaterThan">
      <formula>1</formula>
    </cfRule>
  </conditionalFormatting>
  <conditionalFormatting sqref="F29:F30">
    <cfRule type="cellIs" dxfId="12" priority="11" operator="greaterThan">
      <formula>1</formula>
    </cfRule>
  </conditionalFormatting>
  <conditionalFormatting sqref="F13:F14">
    <cfRule type="cellIs" dxfId="11" priority="14" operator="greaterThan">
      <formula>1</formula>
    </cfRule>
  </conditionalFormatting>
  <conditionalFormatting sqref="F16:F21">
    <cfRule type="cellIs" dxfId="10" priority="13" operator="greaterThan">
      <formula>1</formula>
    </cfRule>
  </conditionalFormatting>
  <conditionalFormatting sqref="F25:F27">
    <cfRule type="cellIs" dxfId="9" priority="12" operator="greaterThan">
      <formula>1</formula>
    </cfRule>
  </conditionalFormatting>
  <conditionalFormatting sqref="F33:F35">
    <cfRule type="cellIs" dxfId="8" priority="10" operator="greaterThan">
      <formula>1</formula>
    </cfRule>
  </conditionalFormatting>
  <conditionalFormatting sqref="F36:F38">
    <cfRule type="cellIs" dxfId="7" priority="9" operator="greaterThan">
      <formula>1</formula>
    </cfRule>
  </conditionalFormatting>
  <conditionalFormatting sqref="F22:F24">
    <cfRule type="cellIs" dxfId="6" priority="8" operator="greaterThan">
      <formula>1</formula>
    </cfRule>
  </conditionalFormatting>
  <conditionalFormatting sqref="J8:J38">
    <cfRule type="cellIs" dxfId="5" priority="7" operator="greaterThan">
      <formula>1</formula>
    </cfRule>
  </conditionalFormatting>
  <conditionalFormatting sqref="F15">
    <cfRule type="cellIs" dxfId="4" priority="6" operator="greaterThan">
      <formula>1</formula>
    </cfRule>
  </conditionalFormatting>
  <conditionalFormatting sqref="F9:F12">
    <cfRule type="cellIs" dxfId="3" priority="5" operator="greaterThan">
      <formula>1</formula>
    </cfRule>
  </conditionalFormatting>
  <conditionalFormatting sqref="F28">
    <cfRule type="cellIs" dxfId="2" priority="4" operator="greaterThan">
      <formula>2</formula>
    </cfRule>
  </conditionalFormatting>
  <conditionalFormatting sqref="F31:F32">
    <cfRule type="cellIs" dxfId="1" priority="3" operator="greaterThan">
      <formula>2</formula>
    </cfRule>
  </conditionalFormatting>
  <conditionalFormatting sqref="J7">
    <cfRule type="cellIs" dxfId="0" priority="2" operator="greaterThan">
      <formula>2</formula>
    </cfRule>
  </conditionalFormatting>
  <printOptions horizontalCentered="1"/>
  <pageMargins left="0.75" right="0.75" top="0.5" bottom="0.5" header="0.3" footer="0.3"/>
  <pageSetup scale="7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7543-03A4-452C-8CDA-BA8DDF7B6E3B}">
  <dimension ref="A2:F48"/>
  <sheetViews>
    <sheetView workbookViewId="0">
      <selection activeCell="C23" sqref="C23"/>
    </sheetView>
  </sheetViews>
  <sheetFormatPr defaultRowHeight="15" x14ac:dyDescent="0.25"/>
  <cols>
    <col min="1" max="1" width="24.85546875" bestFit="1" customWidth="1"/>
    <col min="2" max="2" width="12.28515625" bestFit="1" customWidth="1"/>
    <col min="3" max="3" width="21.7109375" bestFit="1" customWidth="1"/>
    <col min="4" max="4" width="13.7109375" bestFit="1" customWidth="1"/>
    <col min="5" max="5" width="5.28515625" bestFit="1" customWidth="1"/>
    <col min="6" max="6" width="22" bestFit="1" customWidth="1"/>
  </cols>
  <sheetData>
    <row r="2" spans="1:6" x14ac:dyDescent="0.25">
      <c r="A2" t="s">
        <v>299</v>
      </c>
      <c r="B2" t="s">
        <v>443</v>
      </c>
      <c r="C2" t="s">
        <v>300</v>
      </c>
      <c r="D2" t="s">
        <v>6</v>
      </c>
      <c r="E2" t="s">
        <v>50</v>
      </c>
      <c r="F2" t="s">
        <v>7</v>
      </c>
    </row>
    <row r="3" spans="1:6" x14ac:dyDescent="0.25">
      <c r="A3" t="s">
        <v>324</v>
      </c>
      <c r="B3" t="s">
        <v>444</v>
      </c>
      <c r="C3" t="s">
        <v>301</v>
      </c>
      <c r="D3" t="s">
        <v>316</v>
      </c>
      <c r="E3">
        <v>46</v>
      </c>
      <c r="F3" t="s">
        <v>302</v>
      </c>
    </row>
    <row r="4" spans="1:6" x14ac:dyDescent="0.25">
      <c r="A4" t="s">
        <v>327</v>
      </c>
      <c r="B4" t="s">
        <v>444</v>
      </c>
      <c r="C4" t="s">
        <v>301</v>
      </c>
      <c r="D4">
        <v>25</v>
      </c>
      <c r="E4">
        <v>47</v>
      </c>
      <c r="F4" t="s">
        <v>302</v>
      </c>
    </row>
    <row r="5" spans="1:6" x14ac:dyDescent="0.25">
      <c r="A5" t="s">
        <v>331</v>
      </c>
      <c r="B5" t="s">
        <v>444</v>
      </c>
      <c r="C5" t="s">
        <v>301</v>
      </c>
      <c r="D5" t="s">
        <v>308</v>
      </c>
      <c r="E5">
        <v>53</v>
      </c>
      <c r="F5" t="s">
        <v>302</v>
      </c>
    </row>
    <row r="6" spans="1:6" x14ac:dyDescent="0.25">
      <c r="A6" t="s">
        <v>336</v>
      </c>
      <c r="B6" t="s">
        <v>444</v>
      </c>
      <c r="C6" t="s">
        <v>301</v>
      </c>
      <c r="D6" t="s">
        <v>308</v>
      </c>
      <c r="E6">
        <v>58</v>
      </c>
      <c r="F6" t="s">
        <v>303</v>
      </c>
    </row>
    <row r="7" spans="1:6" x14ac:dyDescent="0.25">
      <c r="A7" t="s">
        <v>341</v>
      </c>
      <c r="B7" t="s">
        <v>444</v>
      </c>
      <c r="C7" t="s">
        <v>301</v>
      </c>
      <c r="D7">
        <v>10</v>
      </c>
      <c r="E7">
        <v>60</v>
      </c>
      <c r="F7" t="s">
        <v>302</v>
      </c>
    </row>
    <row r="8" spans="1:6" x14ac:dyDescent="0.25">
      <c r="A8" t="s">
        <v>342</v>
      </c>
      <c r="B8" t="s">
        <v>444</v>
      </c>
      <c r="C8" t="s">
        <v>301</v>
      </c>
      <c r="D8" t="s">
        <v>308</v>
      </c>
      <c r="E8">
        <v>65</v>
      </c>
      <c r="F8" t="s">
        <v>303</v>
      </c>
    </row>
    <row r="9" spans="1:6" x14ac:dyDescent="0.25">
      <c r="A9" t="s">
        <v>344</v>
      </c>
      <c r="B9" t="s">
        <v>444</v>
      </c>
      <c r="C9" t="s">
        <v>301</v>
      </c>
      <c r="D9">
        <v>2</v>
      </c>
      <c r="E9">
        <v>66</v>
      </c>
      <c r="F9" t="s">
        <v>303</v>
      </c>
    </row>
    <row r="10" spans="1:6" x14ac:dyDescent="0.25">
      <c r="A10" t="s">
        <v>348</v>
      </c>
      <c r="B10" t="s">
        <v>444</v>
      </c>
      <c r="C10" t="s">
        <v>301</v>
      </c>
      <c r="D10" t="s">
        <v>323</v>
      </c>
      <c r="E10">
        <v>71</v>
      </c>
      <c r="F10" t="s">
        <v>303</v>
      </c>
    </row>
    <row r="11" spans="1:6" x14ac:dyDescent="0.25">
      <c r="A11" t="s">
        <v>304</v>
      </c>
      <c r="C11" t="s">
        <v>301</v>
      </c>
      <c r="D11">
        <v>5</v>
      </c>
      <c r="E11">
        <v>34</v>
      </c>
      <c r="F11" t="s">
        <v>303</v>
      </c>
    </row>
    <row r="12" spans="1:6" x14ac:dyDescent="0.25">
      <c r="A12" t="s">
        <v>307</v>
      </c>
      <c r="C12" t="s">
        <v>301</v>
      </c>
      <c r="D12" t="s">
        <v>308</v>
      </c>
      <c r="E12">
        <v>35</v>
      </c>
      <c r="F12" t="s">
        <v>303</v>
      </c>
    </row>
    <row r="13" spans="1:6" x14ac:dyDescent="0.25">
      <c r="A13" t="s">
        <v>309</v>
      </c>
      <c r="C13" t="s">
        <v>301</v>
      </c>
      <c r="D13" t="s">
        <v>308</v>
      </c>
      <c r="E13">
        <v>35</v>
      </c>
      <c r="F13" t="s">
        <v>303</v>
      </c>
    </row>
    <row r="14" spans="1:6" x14ac:dyDescent="0.25">
      <c r="A14" t="s">
        <v>310</v>
      </c>
      <c r="C14" t="s">
        <v>301</v>
      </c>
      <c r="D14" t="s">
        <v>308</v>
      </c>
      <c r="E14">
        <v>35</v>
      </c>
      <c r="F14" t="s">
        <v>303</v>
      </c>
    </row>
    <row r="15" spans="1:6" x14ac:dyDescent="0.25">
      <c r="A15" t="s">
        <v>311</v>
      </c>
      <c r="C15" t="s">
        <v>301</v>
      </c>
      <c r="D15" t="s">
        <v>308</v>
      </c>
      <c r="E15">
        <v>35</v>
      </c>
      <c r="F15" t="s">
        <v>303</v>
      </c>
    </row>
    <row r="16" spans="1:6" x14ac:dyDescent="0.25">
      <c r="A16" t="s">
        <v>314</v>
      </c>
      <c r="C16" t="s">
        <v>301</v>
      </c>
      <c r="D16">
        <v>5</v>
      </c>
      <c r="E16">
        <v>39</v>
      </c>
      <c r="F16" t="s">
        <v>303</v>
      </c>
    </row>
    <row r="17" spans="1:6" x14ac:dyDescent="0.25">
      <c r="A17" t="s">
        <v>315</v>
      </c>
      <c r="C17" t="s">
        <v>305</v>
      </c>
      <c r="D17">
        <v>5</v>
      </c>
      <c r="E17">
        <v>40</v>
      </c>
      <c r="F17" t="s">
        <v>303</v>
      </c>
    </row>
    <row r="18" spans="1:6" x14ac:dyDescent="0.25">
      <c r="A18" t="s">
        <v>318</v>
      </c>
      <c r="C18" t="s">
        <v>301</v>
      </c>
      <c r="D18">
        <v>10</v>
      </c>
      <c r="E18">
        <v>41</v>
      </c>
      <c r="F18" t="s">
        <v>302</v>
      </c>
    </row>
    <row r="19" spans="1:6" x14ac:dyDescent="0.25">
      <c r="A19" t="s">
        <v>319</v>
      </c>
      <c r="C19" t="s">
        <v>305</v>
      </c>
      <c r="D19" t="s">
        <v>316</v>
      </c>
      <c r="E19">
        <v>41</v>
      </c>
      <c r="F19" t="s">
        <v>303</v>
      </c>
    </row>
    <row r="20" spans="1:6" x14ac:dyDescent="0.25">
      <c r="A20" t="s">
        <v>320</v>
      </c>
      <c r="C20" t="s">
        <v>53</v>
      </c>
      <c r="D20">
        <v>5</v>
      </c>
      <c r="E20">
        <v>43</v>
      </c>
      <c r="F20" t="s">
        <v>303</v>
      </c>
    </row>
    <row r="21" spans="1:6" x14ac:dyDescent="0.25">
      <c r="A21" t="s">
        <v>321</v>
      </c>
      <c r="C21" t="s">
        <v>305</v>
      </c>
      <c r="D21">
        <v>15</v>
      </c>
      <c r="E21">
        <v>43</v>
      </c>
      <c r="F21" t="s">
        <v>303</v>
      </c>
    </row>
    <row r="22" spans="1:6" x14ac:dyDescent="0.25">
      <c r="A22" t="s">
        <v>322</v>
      </c>
      <c r="C22" t="s">
        <v>305</v>
      </c>
      <c r="D22">
        <v>10</v>
      </c>
      <c r="E22">
        <v>43</v>
      </c>
      <c r="F22" t="s">
        <v>303</v>
      </c>
    </row>
    <row r="23" spans="1:6" x14ac:dyDescent="0.25">
      <c r="A23" t="s">
        <v>325</v>
      </c>
      <c r="C23" t="s">
        <v>305</v>
      </c>
      <c r="D23">
        <v>15</v>
      </c>
      <c r="E23">
        <v>47</v>
      </c>
      <c r="F23" t="s">
        <v>303</v>
      </c>
    </row>
    <row r="24" spans="1:6" x14ac:dyDescent="0.25">
      <c r="A24" t="s">
        <v>326</v>
      </c>
      <c r="C24" t="s">
        <v>305</v>
      </c>
      <c r="D24">
        <v>15</v>
      </c>
      <c r="E24">
        <v>47</v>
      </c>
      <c r="F24" t="s">
        <v>303</v>
      </c>
    </row>
    <row r="25" spans="1:6" x14ac:dyDescent="0.25">
      <c r="A25" t="s">
        <v>329</v>
      </c>
      <c r="C25" t="s">
        <v>305</v>
      </c>
      <c r="D25">
        <v>5</v>
      </c>
      <c r="E25">
        <v>51</v>
      </c>
      <c r="F25" t="s">
        <v>303</v>
      </c>
    </row>
    <row r="26" spans="1:6" x14ac:dyDescent="0.25">
      <c r="A26" t="s">
        <v>439</v>
      </c>
      <c r="C26" t="s">
        <v>305</v>
      </c>
      <c r="D26">
        <v>5</v>
      </c>
      <c r="E26">
        <v>51</v>
      </c>
      <c r="F26" t="s">
        <v>303</v>
      </c>
    </row>
    <row r="27" spans="1:6" x14ac:dyDescent="0.25">
      <c r="A27" t="s">
        <v>440</v>
      </c>
      <c r="C27" t="s">
        <v>305</v>
      </c>
      <c r="D27">
        <v>5</v>
      </c>
      <c r="E27">
        <v>51</v>
      </c>
      <c r="F27" t="s">
        <v>306</v>
      </c>
    </row>
    <row r="28" spans="1:6" x14ac:dyDescent="0.25">
      <c r="A28" t="s">
        <v>441</v>
      </c>
      <c r="C28" t="s">
        <v>305</v>
      </c>
      <c r="D28">
        <v>15</v>
      </c>
      <c r="E28">
        <v>51</v>
      </c>
      <c r="F28" t="s">
        <v>306</v>
      </c>
    </row>
    <row r="29" spans="1:6" x14ac:dyDescent="0.25">
      <c r="A29" t="s">
        <v>442</v>
      </c>
      <c r="C29" t="s">
        <v>305</v>
      </c>
      <c r="D29">
        <v>5</v>
      </c>
      <c r="E29">
        <v>51</v>
      </c>
      <c r="F29" t="s">
        <v>306</v>
      </c>
    </row>
    <row r="30" spans="1:6" x14ac:dyDescent="0.25">
      <c r="A30" t="s">
        <v>332</v>
      </c>
      <c r="C30" t="s">
        <v>305</v>
      </c>
      <c r="D30" t="s">
        <v>308</v>
      </c>
      <c r="E30">
        <v>55</v>
      </c>
      <c r="F30" t="s">
        <v>303</v>
      </c>
    </row>
    <row r="31" spans="1:6" x14ac:dyDescent="0.25">
      <c r="A31" t="s">
        <v>333</v>
      </c>
      <c r="C31" t="s">
        <v>301</v>
      </c>
      <c r="D31">
        <v>5</v>
      </c>
      <c r="E31">
        <v>55</v>
      </c>
      <c r="F31" t="s">
        <v>303</v>
      </c>
    </row>
    <row r="32" spans="1:6" x14ac:dyDescent="0.25">
      <c r="A32" t="s">
        <v>334</v>
      </c>
      <c r="C32" t="s">
        <v>301</v>
      </c>
      <c r="D32">
        <v>5</v>
      </c>
      <c r="E32">
        <v>56</v>
      </c>
      <c r="F32" t="s">
        <v>303</v>
      </c>
    </row>
    <row r="33" spans="1:6" x14ac:dyDescent="0.25">
      <c r="A33" t="s">
        <v>335</v>
      </c>
      <c r="C33" t="s">
        <v>305</v>
      </c>
      <c r="D33" t="s">
        <v>316</v>
      </c>
      <c r="E33">
        <v>90</v>
      </c>
      <c r="F33" t="s">
        <v>303</v>
      </c>
    </row>
    <row r="34" spans="1:6" x14ac:dyDescent="0.25">
      <c r="A34" t="s">
        <v>337</v>
      </c>
      <c r="C34" t="s">
        <v>301</v>
      </c>
      <c r="D34" t="s">
        <v>308</v>
      </c>
      <c r="E34">
        <v>59</v>
      </c>
      <c r="F34" t="s">
        <v>303</v>
      </c>
    </row>
    <row r="35" spans="1:6" x14ac:dyDescent="0.25">
      <c r="A35" t="s">
        <v>338</v>
      </c>
      <c r="C35" t="s">
        <v>305</v>
      </c>
      <c r="D35" t="s">
        <v>312</v>
      </c>
      <c r="E35">
        <v>90</v>
      </c>
      <c r="F35" t="s">
        <v>303</v>
      </c>
    </row>
    <row r="36" spans="1:6" x14ac:dyDescent="0.25">
      <c r="A36" t="s">
        <v>339</v>
      </c>
      <c r="C36" t="s">
        <v>301</v>
      </c>
      <c r="D36" t="s">
        <v>316</v>
      </c>
      <c r="E36">
        <v>59</v>
      </c>
      <c r="F36" t="s">
        <v>303</v>
      </c>
    </row>
    <row r="37" spans="1:6" x14ac:dyDescent="0.25">
      <c r="A37" t="s">
        <v>340</v>
      </c>
      <c r="C37" t="s">
        <v>301</v>
      </c>
      <c r="D37">
        <v>10</v>
      </c>
      <c r="E37">
        <v>59</v>
      </c>
      <c r="F37" t="s">
        <v>303</v>
      </c>
    </row>
    <row r="38" spans="1:6" x14ac:dyDescent="0.25">
      <c r="A38" t="s">
        <v>343</v>
      </c>
      <c r="C38" t="s">
        <v>305</v>
      </c>
      <c r="D38">
        <v>2</v>
      </c>
      <c r="E38">
        <v>66</v>
      </c>
      <c r="F38" t="s">
        <v>303</v>
      </c>
    </row>
    <row r="39" spans="1:6" x14ac:dyDescent="0.25">
      <c r="A39" t="s">
        <v>345</v>
      </c>
      <c r="C39" t="s">
        <v>305</v>
      </c>
      <c r="D39" t="s">
        <v>313</v>
      </c>
      <c r="E39">
        <v>66</v>
      </c>
      <c r="F39" t="s">
        <v>306</v>
      </c>
    </row>
    <row r="40" spans="1:6" x14ac:dyDescent="0.25">
      <c r="A40" t="s">
        <v>346</v>
      </c>
      <c r="C40" t="s">
        <v>305</v>
      </c>
      <c r="D40" t="s">
        <v>445</v>
      </c>
      <c r="E40">
        <v>66</v>
      </c>
      <c r="F40" t="s">
        <v>317</v>
      </c>
    </row>
    <row r="41" spans="1:6" x14ac:dyDescent="0.25">
      <c r="A41" t="s">
        <v>347</v>
      </c>
      <c r="C41" t="s">
        <v>305</v>
      </c>
      <c r="D41" t="s">
        <v>308</v>
      </c>
      <c r="E41">
        <v>67</v>
      </c>
      <c r="F41" t="s">
        <v>317</v>
      </c>
    </row>
    <row r="42" spans="1:6" x14ac:dyDescent="0.25">
      <c r="A42" t="s">
        <v>349</v>
      </c>
      <c r="C42" t="s">
        <v>301</v>
      </c>
      <c r="D42">
        <v>15</v>
      </c>
      <c r="E42">
        <v>74</v>
      </c>
      <c r="F42" t="s">
        <v>303</v>
      </c>
    </row>
    <row r="43" spans="1:6" x14ac:dyDescent="0.25">
      <c r="A43" t="s">
        <v>350</v>
      </c>
      <c r="C43" t="s">
        <v>305</v>
      </c>
      <c r="D43" t="s">
        <v>312</v>
      </c>
      <c r="E43">
        <v>77</v>
      </c>
      <c r="F43" t="s">
        <v>317</v>
      </c>
    </row>
    <row r="44" spans="1:6" x14ac:dyDescent="0.25">
      <c r="A44" t="s">
        <v>351</v>
      </c>
      <c r="C44" t="s">
        <v>305</v>
      </c>
      <c r="D44">
        <v>5</v>
      </c>
      <c r="E44">
        <v>86</v>
      </c>
      <c r="F44" t="s">
        <v>306</v>
      </c>
    </row>
    <row r="45" spans="1:6" x14ac:dyDescent="0.25">
      <c r="A45" t="s">
        <v>352</v>
      </c>
      <c r="C45" t="s">
        <v>305</v>
      </c>
      <c r="D45">
        <v>30</v>
      </c>
      <c r="E45">
        <v>93</v>
      </c>
      <c r="F45" t="s">
        <v>303</v>
      </c>
    </row>
    <row r="46" spans="1:6" x14ac:dyDescent="0.25">
      <c r="A46" t="s">
        <v>353</v>
      </c>
      <c r="C46" t="s">
        <v>305</v>
      </c>
      <c r="D46">
        <v>15</v>
      </c>
      <c r="E46">
        <v>94</v>
      </c>
      <c r="F46" t="s">
        <v>317</v>
      </c>
    </row>
    <row r="47" spans="1:6" x14ac:dyDescent="0.25">
      <c r="A47" t="s">
        <v>354</v>
      </c>
      <c r="C47" t="s">
        <v>305</v>
      </c>
      <c r="D47">
        <v>15</v>
      </c>
      <c r="E47">
        <v>95</v>
      </c>
      <c r="F47" t="s">
        <v>303</v>
      </c>
    </row>
    <row r="48" spans="1:6" x14ac:dyDescent="0.25">
      <c r="A48" t="s">
        <v>355</v>
      </c>
      <c r="C48" t="s">
        <v>301</v>
      </c>
      <c r="D48">
        <v>10</v>
      </c>
      <c r="E48">
        <v>97</v>
      </c>
      <c r="F48" t="s">
        <v>303</v>
      </c>
    </row>
  </sheetData>
  <autoFilter ref="A2:F2" xr:uid="{3E684080-9BF9-45EA-A2A8-2FA9CA137EC7}">
    <sortState ref="A3:F48">
      <sortCondition ref="B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640C-DDE6-41D4-A800-EDA6315BCBA4}">
  <dimension ref="A2:H77"/>
  <sheetViews>
    <sheetView topLeftCell="A40" workbookViewId="0">
      <selection activeCell="H3" sqref="H3:H77"/>
    </sheetView>
  </sheetViews>
  <sheetFormatPr defaultRowHeight="15" x14ac:dyDescent="0.25"/>
  <cols>
    <col min="1" max="1" width="23" bestFit="1" customWidth="1"/>
    <col min="2" max="2" width="24" bestFit="1" customWidth="1"/>
    <col min="4" max="4" width="12" bestFit="1" customWidth="1"/>
    <col min="5" max="5" width="12.42578125" bestFit="1" customWidth="1"/>
  </cols>
  <sheetData>
    <row r="2" spans="1:8" x14ac:dyDescent="0.25">
      <c r="A2" t="s">
        <v>299</v>
      </c>
      <c r="B2" t="s">
        <v>300</v>
      </c>
      <c r="C2" t="s">
        <v>6</v>
      </c>
      <c r="D2" t="s">
        <v>50</v>
      </c>
      <c r="E2" t="s">
        <v>7</v>
      </c>
    </row>
    <row r="3" spans="1:8" x14ac:dyDescent="0.25">
      <c r="A3" t="s">
        <v>356</v>
      </c>
      <c r="B3" t="s">
        <v>305</v>
      </c>
      <c r="C3">
        <v>-15</v>
      </c>
      <c r="D3">
        <v>122</v>
      </c>
      <c r="E3" t="s">
        <v>303</v>
      </c>
      <c r="H3" t="str">
        <f>A3&amp;IF(RIGHT(C3,1)="*"," *","")</f>
        <v>Absent-Mindedness</v>
      </c>
    </row>
    <row r="4" spans="1:8" x14ac:dyDescent="0.25">
      <c r="A4" t="s">
        <v>357</v>
      </c>
      <c r="B4" t="s">
        <v>328</v>
      </c>
      <c r="C4">
        <v>-5</v>
      </c>
      <c r="D4" t="s">
        <v>358</v>
      </c>
      <c r="E4" t="s">
        <v>303</v>
      </c>
      <c r="H4" t="str">
        <f t="shared" ref="H4:H67" si="0">A4&amp;IF(RIGHT(C4,1)="*"," *","")</f>
        <v>Addiction</v>
      </c>
    </row>
    <row r="5" spans="1:8" x14ac:dyDescent="0.25">
      <c r="A5" t="s">
        <v>359</v>
      </c>
      <c r="B5" t="s">
        <v>301</v>
      </c>
      <c r="C5">
        <v>-15</v>
      </c>
      <c r="D5">
        <v>122</v>
      </c>
      <c r="E5" t="s">
        <v>303</v>
      </c>
      <c r="H5" t="str">
        <f t="shared" si="0"/>
        <v>Alcoholism</v>
      </c>
    </row>
    <row r="6" spans="1:8" x14ac:dyDescent="0.25">
      <c r="A6" t="s">
        <v>360</v>
      </c>
      <c r="B6" t="s">
        <v>301</v>
      </c>
      <c r="C6">
        <v>-15</v>
      </c>
      <c r="D6">
        <v>123</v>
      </c>
      <c r="E6" t="s">
        <v>303</v>
      </c>
      <c r="H6" t="str">
        <f t="shared" si="0"/>
        <v>Bad Back</v>
      </c>
    </row>
    <row r="7" spans="1:8" x14ac:dyDescent="0.25">
      <c r="A7" t="s">
        <v>361</v>
      </c>
      <c r="B7" t="s">
        <v>301</v>
      </c>
      <c r="C7">
        <v>-5</v>
      </c>
      <c r="D7">
        <v>123</v>
      </c>
      <c r="E7" t="s">
        <v>303</v>
      </c>
      <c r="H7" t="str">
        <f t="shared" si="0"/>
        <v>Bad Grip</v>
      </c>
    </row>
    <row r="8" spans="1:8" x14ac:dyDescent="0.25">
      <c r="A8" t="s">
        <v>362</v>
      </c>
      <c r="B8" t="s">
        <v>301</v>
      </c>
      <c r="C8">
        <v>-25</v>
      </c>
      <c r="D8">
        <v>123</v>
      </c>
      <c r="E8" t="s">
        <v>303</v>
      </c>
      <c r="H8" t="str">
        <f t="shared" si="0"/>
        <v>Bad Sight</v>
      </c>
    </row>
    <row r="9" spans="1:8" x14ac:dyDescent="0.25">
      <c r="A9" t="s">
        <v>363</v>
      </c>
      <c r="B9" t="s">
        <v>301</v>
      </c>
      <c r="C9">
        <v>-10</v>
      </c>
      <c r="D9">
        <v>124</v>
      </c>
      <c r="E9" t="s">
        <v>303</v>
      </c>
      <c r="H9" t="str">
        <f t="shared" si="0"/>
        <v>Bad Smell</v>
      </c>
    </row>
    <row r="10" spans="1:8" x14ac:dyDescent="0.25">
      <c r="A10" t="s">
        <v>364</v>
      </c>
      <c r="B10" t="s">
        <v>305</v>
      </c>
      <c r="C10" t="s">
        <v>365</v>
      </c>
      <c r="D10">
        <v>124</v>
      </c>
      <c r="E10" t="s">
        <v>303</v>
      </c>
      <c r="H10" t="str">
        <f t="shared" si="0"/>
        <v>Bad Temper *</v>
      </c>
    </row>
    <row r="11" spans="1:8" x14ac:dyDescent="0.25">
      <c r="A11" t="s">
        <v>366</v>
      </c>
      <c r="B11" t="s">
        <v>301</v>
      </c>
      <c r="C11">
        <v>-50</v>
      </c>
      <c r="D11">
        <v>124</v>
      </c>
      <c r="E11" t="s">
        <v>303</v>
      </c>
      <c r="H11" t="str">
        <f t="shared" si="0"/>
        <v>Blindness</v>
      </c>
    </row>
    <row r="12" spans="1:8" x14ac:dyDescent="0.25">
      <c r="A12" t="s">
        <v>367</v>
      </c>
      <c r="B12" t="s">
        <v>305</v>
      </c>
      <c r="C12" t="s">
        <v>365</v>
      </c>
      <c r="D12">
        <v>125</v>
      </c>
      <c r="E12" t="s">
        <v>303</v>
      </c>
      <c r="H12" t="str">
        <f t="shared" si="0"/>
        <v>Bloodlust *</v>
      </c>
    </row>
    <row r="13" spans="1:8" x14ac:dyDescent="0.25">
      <c r="A13" t="s">
        <v>368</v>
      </c>
      <c r="B13" t="s">
        <v>305</v>
      </c>
      <c r="C13" t="s">
        <v>365</v>
      </c>
      <c r="D13">
        <v>125</v>
      </c>
      <c r="E13" t="s">
        <v>303</v>
      </c>
      <c r="H13" t="str">
        <f t="shared" si="0"/>
        <v>Bully *</v>
      </c>
    </row>
    <row r="14" spans="1:8" x14ac:dyDescent="0.25">
      <c r="A14" t="s">
        <v>369</v>
      </c>
      <c r="B14" t="s">
        <v>305</v>
      </c>
      <c r="C14">
        <v>-5</v>
      </c>
      <c r="D14">
        <v>125</v>
      </c>
      <c r="E14" t="s">
        <v>303</v>
      </c>
      <c r="H14" t="str">
        <f t="shared" si="0"/>
        <v>Callous</v>
      </c>
    </row>
    <row r="15" spans="1:8" x14ac:dyDescent="0.25">
      <c r="A15" t="s">
        <v>370</v>
      </c>
      <c r="B15" t="s">
        <v>301</v>
      </c>
      <c r="C15">
        <v>-15</v>
      </c>
      <c r="D15">
        <v>125</v>
      </c>
      <c r="E15" t="s">
        <v>303</v>
      </c>
      <c r="H15" t="str">
        <f t="shared" si="0"/>
        <v>Cannot Speak</v>
      </c>
    </row>
    <row r="16" spans="1:8" x14ac:dyDescent="0.25">
      <c r="A16" t="s">
        <v>371</v>
      </c>
      <c r="B16" t="s">
        <v>305</v>
      </c>
      <c r="C16" t="s">
        <v>372</v>
      </c>
      <c r="D16">
        <v>125</v>
      </c>
      <c r="E16" t="s">
        <v>303</v>
      </c>
      <c r="H16" t="str">
        <f t="shared" si="0"/>
        <v>Charitable *</v>
      </c>
    </row>
    <row r="17" spans="1:8" x14ac:dyDescent="0.25">
      <c r="A17" t="s">
        <v>373</v>
      </c>
      <c r="B17" t="s">
        <v>301</v>
      </c>
      <c r="C17">
        <v>-5</v>
      </c>
      <c r="D17">
        <v>126</v>
      </c>
      <c r="E17" t="s">
        <v>303</v>
      </c>
      <c r="H17" t="str">
        <f t="shared" si="0"/>
        <v>Chronic Pain</v>
      </c>
    </row>
    <row r="18" spans="1:8" x14ac:dyDescent="0.25">
      <c r="A18" t="s">
        <v>374</v>
      </c>
      <c r="B18" t="s">
        <v>305</v>
      </c>
      <c r="C18">
        <v>-5</v>
      </c>
      <c r="D18">
        <v>126</v>
      </c>
      <c r="E18" t="s">
        <v>303</v>
      </c>
      <c r="H18" t="str">
        <f t="shared" si="0"/>
        <v>Chummy</v>
      </c>
    </row>
    <row r="19" spans="1:8" x14ac:dyDescent="0.25">
      <c r="A19" t="s">
        <v>375</v>
      </c>
      <c r="B19" t="s">
        <v>305</v>
      </c>
      <c r="C19">
        <v>-10</v>
      </c>
      <c r="D19">
        <v>126</v>
      </c>
      <c r="E19" t="s">
        <v>303</v>
      </c>
      <c r="H19" t="str">
        <f t="shared" si="0"/>
        <v>Clueless</v>
      </c>
    </row>
    <row r="20" spans="1:8" x14ac:dyDescent="0.25">
      <c r="A20" t="s">
        <v>376</v>
      </c>
      <c r="B20" t="s">
        <v>305</v>
      </c>
      <c r="C20">
        <v>-10</v>
      </c>
      <c r="D20" t="s">
        <v>377</v>
      </c>
      <c r="E20" t="s">
        <v>303</v>
      </c>
      <c r="H20" t="str">
        <f t="shared" si="0"/>
        <v>Code of Honor</v>
      </c>
    </row>
    <row r="21" spans="1:8" x14ac:dyDescent="0.25">
      <c r="A21" t="s">
        <v>378</v>
      </c>
      <c r="B21" t="s">
        <v>301</v>
      </c>
      <c r="C21">
        <v>-5</v>
      </c>
      <c r="D21">
        <v>127</v>
      </c>
      <c r="E21" t="s">
        <v>303</v>
      </c>
      <c r="H21" t="str">
        <f t="shared" si="0"/>
        <v>Colorblindness</v>
      </c>
    </row>
    <row r="22" spans="1:8" x14ac:dyDescent="0.25">
      <c r="A22" t="s">
        <v>379</v>
      </c>
      <c r="B22" t="s">
        <v>301</v>
      </c>
      <c r="C22">
        <v>-15</v>
      </c>
      <c r="D22">
        <v>127</v>
      </c>
      <c r="E22" t="s">
        <v>303</v>
      </c>
      <c r="H22" t="str">
        <f t="shared" si="0"/>
        <v>Combat Paralysis</v>
      </c>
    </row>
    <row r="23" spans="1:8" x14ac:dyDescent="0.25">
      <c r="A23" t="s">
        <v>380</v>
      </c>
      <c r="B23" t="s">
        <v>305</v>
      </c>
      <c r="C23" s="55" t="s">
        <v>383</v>
      </c>
      <c r="D23">
        <v>128</v>
      </c>
      <c r="E23" t="s">
        <v>303</v>
      </c>
      <c r="H23" t="str">
        <f t="shared" si="0"/>
        <v>Compulsive Behavior *</v>
      </c>
    </row>
    <row r="24" spans="1:8" x14ac:dyDescent="0.25">
      <c r="A24" t="s">
        <v>381</v>
      </c>
      <c r="B24" t="s">
        <v>305</v>
      </c>
      <c r="C24" t="s">
        <v>365</v>
      </c>
      <c r="D24">
        <v>129</v>
      </c>
      <c r="E24" t="s">
        <v>303</v>
      </c>
      <c r="H24" t="str">
        <f t="shared" si="0"/>
        <v>Cowardice *</v>
      </c>
    </row>
    <row r="25" spans="1:8" x14ac:dyDescent="0.25">
      <c r="A25" t="s">
        <v>382</v>
      </c>
      <c r="B25" t="s">
        <v>305</v>
      </c>
      <c r="C25" t="s">
        <v>383</v>
      </c>
      <c r="D25">
        <v>129</v>
      </c>
      <c r="E25" t="s">
        <v>303</v>
      </c>
      <c r="H25" t="str">
        <f t="shared" si="0"/>
        <v>Curious *</v>
      </c>
    </row>
    <row r="26" spans="1:8" x14ac:dyDescent="0.25">
      <c r="A26" t="s">
        <v>384</v>
      </c>
      <c r="B26" t="s">
        <v>301</v>
      </c>
      <c r="C26">
        <v>-20</v>
      </c>
      <c r="D26">
        <v>129</v>
      </c>
      <c r="E26" t="s">
        <v>303</v>
      </c>
      <c r="H26" t="str">
        <f t="shared" si="0"/>
        <v>Deafness</v>
      </c>
    </row>
    <row r="27" spans="1:8" x14ac:dyDescent="0.25">
      <c r="A27" t="s">
        <v>385</v>
      </c>
      <c r="B27" t="s">
        <v>305</v>
      </c>
      <c r="C27">
        <v>-5</v>
      </c>
      <c r="D27">
        <v>132</v>
      </c>
      <c r="E27" t="s">
        <v>303</v>
      </c>
      <c r="H27" t="str">
        <f t="shared" si="0"/>
        <v>Disciplines of Faith</v>
      </c>
    </row>
    <row r="28" spans="1:8" x14ac:dyDescent="0.25">
      <c r="A28" t="s">
        <v>386</v>
      </c>
      <c r="B28" t="s">
        <v>53</v>
      </c>
      <c r="C28">
        <v>-5</v>
      </c>
      <c r="D28">
        <v>133</v>
      </c>
      <c r="E28" t="s">
        <v>303</v>
      </c>
      <c r="H28" t="str">
        <f t="shared" si="0"/>
        <v>Duty</v>
      </c>
    </row>
    <row r="29" spans="1:8" x14ac:dyDescent="0.25">
      <c r="A29" t="s">
        <v>387</v>
      </c>
      <c r="B29" t="s">
        <v>301</v>
      </c>
      <c r="C29" t="s">
        <v>388</v>
      </c>
      <c r="D29">
        <v>134</v>
      </c>
      <c r="E29" t="s">
        <v>303</v>
      </c>
      <c r="H29" t="str">
        <f t="shared" si="0"/>
        <v>Easy to Kill</v>
      </c>
    </row>
    <row r="30" spans="1:8" x14ac:dyDescent="0.25">
      <c r="A30" t="s">
        <v>389</v>
      </c>
      <c r="B30" t="s">
        <v>305</v>
      </c>
      <c r="C30">
        <v>-10</v>
      </c>
      <c r="D30">
        <v>134</v>
      </c>
      <c r="E30" t="s">
        <v>303</v>
      </c>
      <c r="H30" t="str">
        <f t="shared" si="0"/>
        <v>Easy to Read</v>
      </c>
    </row>
    <row r="31" spans="1:8" x14ac:dyDescent="0.25">
      <c r="A31" t="s">
        <v>390</v>
      </c>
      <c r="B31" t="s">
        <v>301</v>
      </c>
      <c r="C31">
        <v>-30</v>
      </c>
      <c r="D31">
        <v>136</v>
      </c>
      <c r="E31" t="s">
        <v>303</v>
      </c>
      <c r="H31" t="str">
        <f t="shared" si="0"/>
        <v>Epilepsy</v>
      </c>
    </row>
    <row r="32" spans="1:8" x14ac:dyDescent="0.25">
      <c r="A32" t="s">
        <v>391</v>
      </c>
      <c r="B32" t="s">
        <v>301</v>
      </c>
      <c r="C32" t="s">
        <v>388</v>
      </c>
      <c r="D32">
        <v>136</v>
      </c>
      <c r="E32" t="s">
        <v>303</v>
      </c>
      <c r="H32" t="str">
        <f t="shared" si="0"/>
        <v>Extra Sleep</v>
      </c>
    </row>
    <row r="33" spans="1:8" x14ac:dyDescent="0.25">
      <c r="A33" t="s">
        <v>392</v>
      </c>
      <c r="B33" t="s">
        <v>305</v>
      </c>
      <c r="C33" t="s">
        <v>388</v>
      </c>
      <c r="D33">
        <v>136</v>
      </c>
      <c r="E33" t="s">
        <v>303</v>
      </c>
      <c r="H33" t="str">
        <f t="shared" si="0"/>
        <v>Fearfulness</v>
      </c>
    </row>
    <row r="34" spans="1:8" x14ac:dyDescent="0.25">
      <c r="A34" t="s">
        <v>393</v>
      </c>
      <c r="B34" t="s">
        <v>305</v>
      </c>
      <c r="C34" t="s">
        <v>383</v>
      </c>
      <c r="D34">
        <v>137</v>
      </c>
      <c r="E34" t="s">
        <v>303</v>
      </c>
      <c r="H34" t="str">
        <f t="shared" si="0"/>
        <v>Gluttony *</v>
      </c>
    </row>
    <row r="35" spans="1:8" x14ac:dyDescent="0.25">
      <c r="A35" t="s">
        <v>394</v>
      </c>
      <c r="B35" t="s">
        <v>305</v>
      </c>
      <c r="C35" t="s">
        <v>372</v>
      </c>
      <c r="D35">
        <v>137</v>
      </c>
      <c r="E35" t="s">
        <v>303</v>
      </c>
      <c r="H35" t="str">
        <f t="shared" si="0"/>
        <v>Greed *</v>
      </c>
    </row>
    <row r="36" spans="1:8" x14ac:dyDescent="0.25">
      <c r="A36" t="s">
        <v>395</v>
      </c>
      <c r="B36" t="s">
        <v>305</v>
      </c>
      <c r="C36" t="s">
        <v>365</v>
      </c>
      <c r="D36">
        <v>137</v>
      </c>
      <c r="E36" t="s">
        <v>303</v>
      </c>
      <c r="H36" t="str">
        <f t="shared" si="0"/>
        <v>Gullibility *</v>
      </c>
    </row>
    <row r="37" spans="1:8" x14ac:dyDescent="0.25">
      <c r="A37" t="s">
        <v>396</v>
      </c>
      <c r="B37" t="s">
        <v>301</v>
      </c>
      <c r="C37">
        <v>-5</v>
      </c>
      <c r="D37">
        <v>138</v>
      </c>
      <c r="E37" t="s">
        <v>303</v>
      </c>
      <c r="H37" t="str">
        <f t="shared" si="0"/>
        <v>Ham-Fisted</v>
      </c>
    </row>
    <row r="38" spans="1:8" x14ac:dyDescent="0.25">
      <c r="A38" t="s">
        <v>397</v>
      </c>
      <c r="B38" t="s">
        <v>301</v>
      </c>
      <c r="C38">
        <v>-10</v>
      </c>
      <c r="D38">
        <v>138</v>
      </c>
      <c r="E38" t="s">
        <v>303</v>
      </c>
      <c r="H38" t="str">
        <f t="shared" si="0"/>
        <v>Hard of Hearing</v>
      </c>
    </row>
    <row r="39" spans="1:8" x14ac:dyDescent="0.25">
      <c r="A39" t="s">
        <v>398</v>
      </c>
      <c r="B39" t="s">
        <v>301</v>
      </c>
      <c r="C39">
        <v>-30</v>
      </c>
      <c r="D39">
        <v>138</v>
      </c>
      <c r="E39" t="s">
        <v>303</v>
      </c>
      <c r="H39" t="str">
        <f t="shared" si="0"/>
        <v>Hemophilia</v>
      </c>
    </row>
    <row r="40" spans="1:8" x14ac:dyDescent="0.25">
      <c r="A40" t="s">
        <v>399</v>
      </c>
      <c r="B40" t="s">
        <v>305</v>
      </c>
      <c r="C40" t="s">
        <v>365</v>
      </c>
      <c r="D40">
        <v>138</v>
      </c>
      <c r="E40" t="s">
        <v>303</v>
      </c>
      <c r="H40" t="str">
        <f t="shared" si="0"/>
        <v>Honesty *</v>
      </c>
    </row>
    <row r="41" spans="1:8" x14ac:dyDescent="0.25">
      <c r="A41" t="s">
        <v>400</v>
      </c>
      <c r="B41" t="s">
        <v>305</v>
      </c>
      <c r="C41" t="s">
        <v>365</v>
      </c>
      <c r="D41">
        <v>139</v>
      </c>
      <c r="E41" t="s">
        <v>303</v>
      </c>
      <c r="H41" t="str">
        <f t="shared" si="0"/>
        <v>Impulsiveness *</v>
      </c>
    </row>
    <row r="42" spans="1:8" x14ac:dyDescent="0.25">
      <c r="A42" t="s">
        <v>401</v>
      </c>
      <c r="B42" t="s">
        <v>301</v>
      </c>
      <c r="C42">
        <v>-10</v>
      </c>
      <c r="D42">
        <v>140</v>
      </c>
      <c r="E42" t="s">
        <v>303</v>
      </c>
      <c r="H42" t="str">
        <f t="shared" si="0"/>
        <v>Insomniac</v>
      </c>
    </row>
    <row r="43" spans="1:8" x14ac:dyDescent="0.25">
      <c r="A43" t="s">
        <v>402</v>
      </c>
      <c r="B43" t="s">
        <v>305</v>
      </c>
      <c r="C43" t="s">
        <v>372</v>
      </c>
      <c r="D43">
        <v>141</v>
      </c>
      <c r="E43" t="s">
        <v>303</v>
      </c>
      <c r="H43" t="str">
        <f t="shared" si="0"/>
        <v>Kleptomania *</v>
      </c>
    </row>
    <row r="44" spans="1:8" x14ac:dyDescent="0.25">
      <c r="A44" t="s">
        <v>403</v>
      </c>
      <c r="B44" t="s">
        <v>301</v>
      </c>
      <c r="C44">
        <v>-5</v>
      </c>
      <c r="D44">
        <v>142</v>
      </c>
      <c r="E44" t="s">
        <v>303</v>
      </c>
      <c r="H44" t="str">
        <f t="shared" si="0"/>
        <v>Light Sleeper</v>
      </c>
    </row>
    <row r="45" spans="1:8" x14ac:dyDescent="0.25">
      <c r="A45" t="s">
        <v>404</v>
      </c>
      <c r="B45" t="s">
        <v>301</v>
      </c>
      <c r="C45">
        <v>-10</v>
      </c>
      <c r="D45">
        <v>142</v>
      </c>
      <c r="E45" t="s">
        <v>303</v>
      </c>
      <c r="H45" t="str">
        <f t="shared" si="0"/>
        <v>Low Pain Threshold</v>
      </c>
    </row>
    <row r="46" spans="1:8" x14ac:dyDescent="0.25">
      <c r="A46" t="s">
        <v>405</v>
      </c>
      <c r="B46" t="s">
        <v>305</v>
      </c>
      <c r="C46" t="s">
        <v>406</v>
      </c>
      <c r="D46">
        <v>143</v>
      </c>
      <c r="E46" t="s">
        <v>317</v>
      </c>
      <c r="H46" t="str">
        <f t="shared" si="0"/>
        <v>Magic Susceptibility</v>
      </c>
    </row>
    <row r="47" spans="1:8" x14ac:dyDescent="0.25">
      <c r="A47" t="s">
        <v>407</v>
      </c>
      <c r="B47" t="s">
        <v>305</v>
      </c>
      <c r="C47" t="s">
        <v>365</v>
      </c>
      <c r="D47">
        <v>144</v>
      </c>
      <c r="E47" t="s">
        <v>303</v>
      </c>
      <c r="H47" t="str">
        <f t="shared" si="0"/>
        <v>Miserliness *</v>
      </c>
    </row>
    <row r="48" spans="1:8" x14ac:dyDescent="0.25">
      <c r="A48" t="s">
        <v>408</v>
      </c>
      <c r="B48" t="s">
        <v>301</v>
      </c>
      <c r="C48">
        <v>-2</v>
      </c>
      <c r="D48">
        <v>144</v>
      </c>
      <c r="E48" t="s">
        <v>303</v>
      </c>
      <c r="H48" t="str">
        <f t="shared" si="0"/>
        <v>Missing Digit</v>
      </c>
    </row>
    <row r="49" spans="1:8" x14ac:dyDescent="0.25">
      <c r="A49" t="s">
        <v>409</v>
      </c>
      <c r="B49" t="s">
        <v>301</v>
      </c>
      <c r="C49">
        <v>-10</v>
      </c>
      <c r="D49">
        <v>144</v>
      </c>
      <c r="E49" t="s">
        <v>303</v>
      </c>
      <c r="H49" t="str">
        <f t="shared" si="0"/>
        <v>Motion Sickness</v>
      </c>
    </row>
    <row r="50" spans="1:8" x14ac:dyDescent="0.25">
      <c r="A50" t="s">
        <v>410</v>
      </c>
      <c r="B50" t="s">
        <v>301</v>
      </c>
      <c r="C50">
        <v>-15</v>
      </c>
      <c r="D50">
        <v>144</v>
      </c>
      <c r="E50" t="s">
        <v>303</v>
      </c>
      <c r="H50" t="str">
        <f t="shared" si="0"/>
        <v>Neurological Disorder</v>
      </c>
    </row>
    <row r="51" spans="1:8" x14ac:dyDescent="0.25">
      <c r="A51" t="s">
        <v>411</v>
      </c>
      <c r="B51" t="s">
        <v>301</v>
      </c>
      <c r="C51">
        <v>-10</v>
      </c>
      <c r="D51">
        <v>144</v>
      </c>
      <c r="E51" t="s">
        <v>303</v>
      </c>
      <c r="H51" t="str">
        <f t="shared" si="0"/>
        <v>Night Blindness</v>
      </c>
    </row>
    <row r="52" spans="1:8" x14ac:dyDescent="0.25">
      <c r="A52" t="s">
        <v>412</v>
      </c>
      <c r="B52" t="s">
        <v>305</v>
      </c>
      <c r="C52" t="s">
        <v>383</v>
      </c>
      <c r="D52">
        <v>144</v>
      </c>
      <c r="E52" t="s">
        <v>303</v>
      </c>
      <c r="H52" t="str">
        <f t="shared" si="0"/>
        <v>Nightmares *</v>
      </c>
    </row>
    <row r="53" spans="1:8" x14ac:dyDescent="0.25">
      <c r="A53" t="s">
        <v>413</v>
      </c>
      <c r="B53" t="s">
        <v>301</v>
      </c>
      <c r="C53">
        <v>-15</v>
      </c>
      <c r="D53">
        <v>145</v>
      </c>
      <c r="E53" t="s">
        <v>303</v>
      </c>
      <c r="H53" t="str">
        <f t="shared" si="0"/>
        <v>No Depth Perception</v>
      </c>
    </row>
    <row r="54" spans="1:8" x14ac:dyDescent="0.25">
      <c r="A54" t="s">
        <v>414</v>
      </c>
      <c r="B54" t="s">
        <v>301</v>
      </c>
      <c r="C54">
        <v>-5</v>
      </c>
      <c r="D54">
        <v>146</v>
      </c>
      <c r="E54" t="s">
        <v>303</v>
      </c>
      <c r="H54" t="str">
        <f t="shared" si="0"/>
        <v>No Sense of Smell/Taste</v>
      </c>
    </row>
    <row r="55" spans="1:8" x14ac:dyDescent="0.25">
      <c r="A55" t="s">
        <v>415</v>
      </c>
      <c r="B55" t="s">
        <v>305</v>
      </c>
      <c r="C55">
        <v>-5</v>
      </c>
      <c r="D55">
        <v>146</v>
      </c>
      <c r="E55" t="s">
        <v>303</v>
      </c>
      <c r="H55" t="str">
        <f t="shared" si="0"/>
        <v>Oblivious</v>
      </c>
    </row>
    <row r="56" spans="1:8" x14ac:dyDescent="0.25">
      <c r="A56" t="s">
        <v>416</v>
      </c>
      <c r="B56" t="s">
        <v>301</v>
      </c>
      <c r="C56">
        <v>-20</v>
      </c>
      <c r="D56">
        <v>147</v>
      </c>
      <c r="E56" t="s">
        <v>303</v>
      </c>
      <c r="H56" t="str">
        <f t="shared" si="0"/>
        <v>One Arm</v>
      </c>
    </row>
    <row r="57" spans="1:8" x14ac:dyDescent="0.25">
      <c r="A57" t="s">
        <v>417</v>
      </c>
      <c r="B57" t="s">
        <v>301</v>
      </c>
      <c r="C57">
        <v>-15</v>
      </c>
      <c r="D57">
        <v>147</v>
      </c>
      <c r="E57" t="s">
        <v>303</v>
      </c>
      <c r="H57" t="str">
        <f t="shared" si="0"/>
        <v>One Eye</v>
      </c>
    </row>
    <row r="58" spans="1:8" x14ac:dyDescent="0.25">
      <c r="A58" t="s">
        <v>418</v>
      </c>
      <c r="B58" t="s">
        <v>301</v>
      </c>
      <c r="C58">
        <v>-15</v>
      </c>
      <c r="D58">
        <v>147</v>
      </c>
      <c r="E58" t="s">
        <v>303</v>
      </c>
      <c r="H58" t="str">
        <f t="shared" si="0"/>
        <v>One Hand</v>
      </c>
    </row>
    <row r="59" spans="1:8" x14ac:dyDescent="0.25">
      <c r="A59" t="s">
        <v>419</v>
      </c>
      <c r="B59" t="s">
        <v>305</v>
      </c>
      <c r="C59" t="s">
        <v>383</v>
      </c>
      <c r="D59">
        <v>148</v>
      </c>
      <c r="E59" t="s">
        <v>303</v>
      </c>
      <c r="H59" t="str">
        <f t="shared" si="0"/>
        <v>Overconfidence *</v>
      </c>
    </row>
    <row r="60" spans="1:8" x14ac:dyDescent="0.25">
      <c r="A60" t="s">
        <v>420</v>
      </c>
      <c r="B60" t="s">
        <v>305</v>
      </c>
      <c r="C60">
        <v>-5</v>
      </c>
      <c r="D60">
        <v>148</v>
      </c>
      <c r="E60" t="s">
        <v>303</v>
      </c>
      <c r="H60" t="str">
        <f t="shared" si="0"/>
        <v>Pacifism</v>
      </c>
    </row>
    <row r="61" spans="1:8" x14ac:dyDescent="0.25">
      <c r="A61" t="s">
        <v>421</v>
      </c>
      <c r="B61" t="s">
        <v>305</v>
      </c>
      <c r="C61">
        <v>-10</v>
      </c>
      <c r="D61">
        <v>148</v>
      </c>
      <c r="E61" t="s">
        <v>303</v>
      </c>
      <c r="H61" t="str">
        <f t="shared" si="0"/>
        <v>Phobias</v>
      </c>
    </row>
    <row r="62" spans="1:8" x14ac:dyDescent="0.25">
      <c r="A62" t="s">
        <v>422</v>
      </c>
      <c r="B62" t="s">
        <v>305</v>
      </c>
      <c r="C62" t="s">
        <v>383</v>
      </c>
      <c r="D62">
        <v>150</v>
      </c>
      <c r="E62" t="s">
        <v>303</v>
      </c>
      <c r="H62" t="str">
        <f t="shared" si="0"/>
        <v>Post-Combat Shakes *</v>
      </c>
    </row>
    <row r="63" spans="1:8" x14ac:dyDescent="0.25">
      <c r="A63" t="s">
        <v>423</v>
      </c>
      <c r="B63" t="s">
        <v>305</v>
      </c>
      <c r="C63" t="s">
        <v>383</v>
      </c>
      <c r="D63">
        <v>150</v>
      </c>
      <c r="E63" t="s">
        <v>303</v>
      </c>
      <c r="H63" t="str">
        <f t="shared" si="0"/>
        <v>Pyromania *</v>
      </c>
    </row>
    <row r="64" spans="1:8" x14ac:dyDescent="0.25">
      <c r="A64" t="s">
        <v>424</v>
      </c>
      <c r="B64" t="s">
        <v>301</v>
      </c>
      <c r="C64">
        <v>-15</v>
      </c>
      <c r="D64">
        <v>151</v>
      </c>
      <c r="E64" t="s">
        <v>303</v>
      </c>
      <c r="H64" t="str">
        <f t="shared" si="0"/>
        <v>Restricted Vision</v>
      </c>
    </row>
    <row r="65" spans="1:8" x14ac:dyDescent="0.25">
      <c r="A65" t="s">
        <v>425</v>
      </c>
      <c r="B65" t="s">
        <v>305</v>
      </c>
      <c r="C65" t="s">
        <v>383</v>
      </c>
      <c r="D65">
        <v>153</v>
      </c>
      <c r="E65" t="s">
        <v>303</v>
      </c>
      <c r="H65" t="str">
        <f t="shared" si="0"/>
        <v>Selfish *</v>
      </c>
    </row>
    <row r="66" spans="1:8" x14ac:dyDescent="0.25">
      <c r="A66" t="s">
        <v>426</v>
      </c>
      <c r="B66" t="s">
        <v>305</v>
      </c>
      <c r="C66" t="s">
        <v>383</v>
      </c>
      <c r="D66">
        <v>153</v>
      </c>
      <c r="E66" t="s">
        <v>303</v>
      </c>
      <c r="H66" t="str">
        <f t="shared" si="0"/>
        <v>Selfless *</v>
      </c>
    </row>
    <row r="67" spans="1:8" x14ac:dyDescent="0.25">
      <c r="A67" t="s">
        <v>427</v>
      </c>
      <c r="B67" t="s">
        <v>305</v>
      </c>
      <c r="C67" t="s">
        <v>365</v>
      </c>
      <c r="D67">
        <v>153</v>
      </c>
      <c r="E67" t="s">
        <v>303</v>
      </c>
      <c r="H67" t="str">
        <f t="shared" si="0"/>
        <v>Short Attention Span *</v>
      </c>
    </row>
    <row r="68" spans="1:8" x14ac:dyDescent="0.25">
      <c r="A68" t="s">
        <v>428</v>
      </c>
      <c r="B68" t="s">
        <v>305</v>
      </c>
      <c r="C68" t="s">
        <v>383</v>
      </c>
      <c r="D68">
        <v>154</v>
      </c>
      <c r="E68" t="s">
        <v>303</v>
      </c>
      <c r="H68" t="str">
        <f t="shared" ref="H68:H77" si="1">A68&amp;IF(RIGHT(C68,1)="*"," *","")</f>
        <v>Sleepwalker *</v>
      </c>
    </row>
    <row r="69" spans="1:8" x14ac:dyDescent="0.25">
      <c r="A69" t="s">
        <v>429</v>
      </c>
      <c r="B69" t="s">
        <v>301</v>
      </c>
      <c r="C69">
        <v>-5</v>
      </c>
      <c r="D69">
        <v>155</v>
      </c>
      <c r="E69" t="s">
        <v>303</v>
      </c>
      <c r="H69" t="str">
        <f t="shared" si="1"/>
        <v>Slow Healing</v>
      </c>
    </row>
    <row r="70" spans="1:8" x14ac:dyDescent="0.25">
      <c r="A70" t="s">
        <v>430</v>
      </c>
      <c r="B70" t="s">
        <v>301</v>
      </c>
      <c r="C70">
        <v>-5</v>
      </c>
      <c r="D70">
        <v>155</v>
      </c>
      <c r="E70" t="s">
        <v>303</v>
      </c>
      <c r="H70" t="str">
        <f t="shared" si="1"/>
        <v>Slow Riser</v>
      </c>
    </row>
    <row r="71" spans="1:8" x14ac:dyDescent="0.25">
      <c r="A71" t="s">
        <v>431</v>
      </c>
      <c r="B71" t="s">
        <v>53</v>
      </c>
      <c r="C71">
        <v>-5</v>
      </c>
      <c r="D71">
        <v>155</v>
      </c>
      <c r="E71" t="s">
        <v>303</v>
      </c>
      <c r="H71" t="str">
        <f t="shared" si="1"/>
        <v>Social Stigma</v>
      </c>
    </row>
    <row r="72" spans="1:8" x14ac:dyDescent="0.25">
      <c r="A72" t="s">
        <v>432</v>
      </c>
      <c r="B72" t="s">
        <v>305</v>
      </c>
      <c r="C72" t="s">
        <v>365</v>
      </c>
      <c r="D72">
        <v>156</v>
      </c>
      <c r="E72" t="s">
        <v>303</v>
      </c>
      <c r="H72" t="str">
        <f t="shared" si="1"/>
        <v>Squeamish *</v>
      </c>
    </row>
    <row r="73" spans="1:8" x14ac:dyDescent="0.25">
      <c r="A73" t="s">
        <v>433</v>
      </c>
      <c r="B73" t="s">
        <v>305</v>
      </c>
      <c r="C73">
        <v>-5</v>
      </c>
      <c r="D73">
        <v>157</v>
      </c>
      <c r="E73" t="s">
        <v>303</v>
      </c>
      <c r="H73" t="str">
        <f t="shared" si="1"/>
        <v>Stubbornness</v>
      </c>
    </row>
    <row r="74" spans="1:8" x14ac:dyDescent="0.25">
      <c r="A74" t="s">
        <v>434</v>
      </c>
      <c r="B74" t="s">
        <v>305</v>
      </c>
      <c r="C74" t="s">
        <v>383</v>
      </c>
      <c r="D74">
        <v>159</v>
      </c>
      <c r="E74" t="s">
        <v>303</v>
      </c>
      <c r="H74" t="str">
        <f t="shared" si="1"/>
        <v>Truthfulness *</v>
      </c>
    </row>
    <row r="75" spans="1:8" x14ac:dyDescent="0.25">
      <c r="A75" t="s">
        <v>435</v>
      </c>
      <c r="B75" t="s">
        <v>301</v>
      </c>
      <c r="C75">
        <v>-5</v>
      </c>
      <c r="D75">
        <v>160</v>
      </c>
      <c r="E75" t="s">
        <v>303</v>
      </c>
      <c r="H75" t="str">
        <f t="shared" si="1"/>
        <v>Unfit</v>
      </c>
    </row>
    <row r="76" spans="1:8" x14ac:dyDescent="0.25">
      <c r="A76" t="s">
        <v>436</v>
      </c>
      <c r="B76" t="s">
        <v>305</v>
      </c>
      <c r="C76">
        <v>-10</v>
      </c>
      <c r="D76">
        <v>160</v>
      </c>
      <c r="E76" t="s">
        <v>303</v>
      </c>
      <c r="H76" t="str">
        <f t="shared" si="1"/>
        <v>Unluckiness</v>
      </c>
    </row>
    <row r="77" spans="1:8" x14ac:dyDescent="0.25">
      <c r="A77" t="s">
        <v>437</v>
      </c>
      <c r="B77" t="s">
        <v>305</v>
      </c>
      <c r="C77">
        <v>-5</v>
      </c>
      <c r="D77" t="s">
        <v>438</v>
      </c>
      <c r="E77" t="s">
        <v>303</v>
      </c>
      <c r="H77" t="str">
        <f t="shared" si="1"/>
        <v>Vow</v>
      </c>
    </row>
  </sheetData>
  <autoFilter ref="A2:F77" xr:uid="{BFCA3A71-01EC-4CC6-9497-53E9A8FFC60B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workbookViewId="0">
      <selection activeCell="A10" sqref="A10:E12"/>
    </sheetView>
  </sheetViews>
  <sheetFormatPr defaultRowHeight="15" x14ac:dyDescent="0.25"/>
  <cols>
    <col min="1" max="1" width="33" customWidth="1"/>
  </cols>
  <sheetData>
    <row r="2" spans="1:9" x14ac:dyDescent="0.25">
      <c r="H2" t="s">
        <v>34</v>
      </c>
      <c r="I2" t="s">
        <v>44</v>
      </c>
    </row>
    <row r="3" spans="1:9" x14ac:dyDescent="0.25">
      <c r="H3" t="s">
        <v>36</v>
      </c>
      <c r="I3">
        <v>0</v>
      </c>
    </row>
    <row r="4" spans="1:9" x14ac:dyDescent="0.25">
      <c r="H4" t="s">
        <v>42</v>
      </c>
      <c r="I4">
        <v>1</v>
      </c>
    </row>
    <row r="5" spans="1:9" x14ac:dyDescent="0.25">
      <c r="H5" t="s">
        <v>37</v>
      </c>
      <c r="I5">
        <v>2</v>
      </c>
    </row>
    <row r="6" spans="1:9" x14ac:dyDescent="0.25">
      <c r="H6" t="s">
        <v>43</v>
      </c>
      <c r="I6">
        <v>3</v>
      </c>
    </row>
    <row r="8" spans="1:9" x14ac:dyDescent="0.25">
      <c r="H8" t="s">
        <v>45</v>
      </c>
      <c r="I8" t="s">
        <v>44</v>
      </c>
    </row>
    <row r="9" spans="1:9" x14ac:dyDescent="0.25">
      <c r="H9">
        <v>0</v>
      </c>
      <c r="I9">
        <v>0</v>
      </c>
    </row>
    <row r="10" spans="1:9" x14ac:dyDescent="0.25">
      <c r="H10">
        <v>1</v>
      </c>
      <c r="I10">
        <v>0</v>
      </c>
    </row>
    <row r="11" spans="1:9" x14ac:dyDescent="0.25">
      <c r="H11">
        <v>2</v>
      </c>
      <c r="I11">
        <v>1</v>
      </c>
    </row>
    <row r="12" spans="1:9" x14ac:dyDescent="0.25">
      <c r="H12">
        <v>4</v>
      </c>
      <c r="I12">
        <v>2</v>
      </c>
    </row>
    <row r="13" spans="1:9" x14ac:dyDescent="0.25">
      <c r="A13" t="s">
        <v>26</v>
      </c>
      <c r="B13">
        <f>Basic_Lift</f>
        <v>20</v>
      </c>
      <c r="H13">
        <v>8</v>
      </c>
      <c r="I13">
        <v>3</v>
      </c>
    </row>
    <row r="14" spans="1:9" x14ac:dyDescent="0.25">
      <c r="A14" t="s">
        <v>27</v>
      </c>
      <c r="B14">
        <f>Basic_Lift*2</f>
        <v>40</v>
      </c>
      <c r="H14">
        <v>12</v>
      </c>
      <c r="I14">
        <v>4</v>
      </c>
    </row>
    <row r="15" spans="1:9" x14ac:dyDescent="0.25">
      <c r="A15" t="s">
        <v>29</v>
      </c>
      <c r="B15">
        <f>Basic_Lift*3</f>
        <v>60</v>
      </c>
      <c r="H15">
        <v>16</v>
      </c>
      <c r="I15">
        <v>5</v>
      </c>
    </row>
    <row r="16" spans="1:9" x14ac:dyDescent="0.25">
      <c r="A16" t="s">
        <v>28</v>
      </c>
      <c r="B16">
        <f>Basic_Lift*4</f>
        <v>80</v>
      </c>
      <c r="H16">
        <v>20</v>
      </c>
      <c r="I16">
        <v>6</v>
      </c>
    </row>
    <row r="17" spans="1:9" x14ac:dyDescent="0.25">
      <c r="A17" t="s">
        <v>30</v>
      </c>
      <c r="B17">
        <f>Basic_Lift*5</f>
        <v>100</v>
      </c>
      <c r="H17">
        <v>24</v>
      </c>
      <c r="I17">
        <v>7</v>
      </c>
    </row>
    <row r="18" spans="1:9" x14ac:dyDescent="0.25">
      <c r="H18">
        <v>28</v>
      </c>
      <c r="I18">
        <v>8</v>
      </c>
    </row>
    <row r="19" spans="1:9" x14ac:dyDescent="0.25">
      <c r="H19">
        <v>32</v>
      </c>
      <c r="I19">
        <v>9</v>
      </c>
    </row>
    <row r="20" spans="1:9" x14ac:dyDescent="0.25">
      <c r="A20" t="s">
        <v>31</v>
      </c>
      <c r="B20" t="s">
        <v>32</v>
      </c>
      <c r="C20" t="s">
        <v>33</v>
      </c>
      <c r="D20" t="s">
        <v>34</v>
      </c>
      <c r="E20" t="s">
        <v>35</v>
      </c>
      <c r="F20" t="s">
        <v>46</v>
      </c>
      <c r="H20">
        <v>36</v>
      </c>
      <c r="I20">
        <v>10</v>
      </c>
    </row>
    <row r="21" spans="1:9" x14ac:dyDescent="0.25">
      <c r="B21">
        <f ca="1">IF(E21=0,F21,INDIRECT(C21)-VLOOKUP(D21,Skill_Difficulty,2,FALSE)+VLOOKUP(E21,Skill_Points,2,TRUE))</f>
        <v>10</v>
      </c>
      <c r="C21" t="s">
        <v>1</v>
      </c>
      <c r="D21" t="s">
        <v>36</v>
      </c>
      <c r="E21">
        <v>1</v>
      </c>
      <c r="F21">
        <v>25</v>
      </c>
      <c r="H21">
        <v>40</v>
      </c>
      <c r="I21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B1" workbookViewId="0">
      <selection activeCell="H12" sqref="H12"/>
    </sheetView>
  </sheetViews>
  <sheetFormatPr defaultRowHeight="15" x14ac:dyDescent="0.25"/>
  <cols>
    <col min="1" max="1" width="10" bestFit="1" customWidth="1"/>
    <col min="2" max="2" width="16.42578125" customWidth="1"/>
    <col min="3" max="3" width="17.85546875" bestFit="1" customWidth="1"/>
    <col min="4" max="4" width="23.5703125" style="1" bestFit="1" customWidth="1"/>
  </cols>
  <sheetData>
    <row r="1" spans="1:10" x14ac:dyDescent="0.25">
      <c r="A1" t="s">
        <v>7</v>
      </c>
      <c r="B1" t="s">
        <v>8</v>
      </c>
      <c r="C1" t="s">
        <v>9</v>
      </c>
      <c r="D1" s="1" t="s">
        <v>19</v>
      </c>
      <c r="E1" t="s">
        <v>6</v>
      </c>
      <c r="F1" t="s">
        <v>15</v>
      </c>
    </row>
    <row r="2" spans="1:10" x14ac:dyDescent="0.25">
      <c r="A2" t="s">
        <v>10</v>
      </c>
      <c r="B2" t="s">
        <v>11</v>
      </c>
      <c r="D2" s="1">
        <v>10</v>
      </c>
      <c r="E2">
        <v>10</v>
      </c>
      <c r="F2">
        <v>1</v>
      </c>
    </row>
    <row r="3" spans="1:10" x14ac:dyDescent="0.25">
      <c r="A3" t="s">
        <v>10</v>
      </c>
      <c r="C3" t="s">
        <v>16</v>
      </c>
      <c r="D3" s="1" t="s">
        <v>0</v>
      </c>
      <c r="E3">
        <v>2</v>
      </c>
      <c r="F3">
        <v>1</v>
      </c>
    </row>
    <row r="4" spans="1:10" x14ac:dyDescent="0.25">
      <c r="A4" t="s">
        <v>10</v>
      </c>
      <c r="B4" t="s">
        <v>12</v>
      </c>
      <c r="D4" s="1">
        <v>10</v>
      </c>
      <c r="E4">
        <v>20</v>
      </c>
      <c r="F4">
        <v>1</v>
      </c>
    </row>
    <row r="5" spans="1:10" x14ac:dyDescent="0.25">
      <c r="A5" t="s">
        <v>10</v>
      </c>
      <c r="B5" t="s">
        <v>13</v>
      </c>
      <c r="D5" s="1">
        <v>10</v>
      </c>
      <c r="E5">
        <v>20</v>
      </c>
      <c r="F5">
        <v>1</v>
      </c>
    </row>
    <row r="6" spans="1:10" x14ac:dyDescent="0.25">
      <c r="A6" t="s">
        <v>10</v>
      </c>
      <c r="C6" t="s">
        <v>17</v>
      </c>
      <c r="D6" s="1" t="s">
        <v>2</v>
      </c>
      <c r="E6">
        <v>5</v>
      </c>
      <c r="F6">
        <v>1</v>
      </c>
    </row>
    <row r="7" spans="1:10" x14ac:dyDescent="0.25">
      <c r="A7" t="s">
        <v>10</v>
      </c>
      <c r="C7" t="s">
        <v>4</v>
      </c>
      <c r="D7" s="1" t="s">
        <v>2</v>
      </c>
      <c r="E7">
        <v>5</v>
      </c>
      <c r="F7">
        <v>1</v>
      </c>
      <c r="H7" t="s">
        <v>0</v>
      </c>
      <c r="I7" t="s">
        <v>241</v>
      </c>
      <c r="J7" t="s">
        <v>242</v>
      </c>
    </row>
    <row r="8" spans="1:10" x14ac:dyDescent="0.25">
      <c r="A8" t="s">
        <v>10</v>
      </c>
      <c r="B8" t="s">
        <v>14</v>
      </c>
      <c r="D8" s="1">
        <v>10</v>
      </c>
      <c r="E8">
        <v>10</v>
      </c>
      <c r="F8">
        <v>1</v>
      </c>
      <c r="H8">
        <v>1</v>
      </c>
      <c r="I8" t="s">
        <v>243</v>
      </c>
      <c r="J8" t="s">
        <v>244</v>
      </c>
    </row>
    <row r="9" spans="1:10" x14ac:dyDescent="0.25">
      <c r="A9" t="s">
        <v>10</v>
      </c>
      <c r="C9" t="s">
        <v>18</v>
      </c>
      <c r="D9" s="1" t="s">
        <v>3</v>
      </c>
      <c r="E9">
        <v>3</v>
      </c>
      <c r="F9">
        <v>1</v>
      </c>
      <c r="H9">
        <v>2</v>
      </c>
      <c r="I9" t="s">
        <v>243</v>
      </c>
      <c r="J9" t="s">
        <v>244</v>
      </c>
    </row>
    <row r="10" spans="1:10" x14ac:dyDescent="0.25">
      <c r="B10" t="s">
        <v>20</v>
      </c>
      <c r="D10" s="2" t="s">
        <v>21</v>
      </c>
      <c r="E10">
        <v>5</v>
      </c>
      <c r="F10">
        <v>0.25</v>
      </c>
      <c r="H10">
        <v>3</v>
      </c>
      <c r="I10" t="s">
        <v>244</v>
      </c>
      <c r="J10" t="s">
        <v>247</v>
      </c>
    </row>
    <row r="11" spans="1:10" x14ac:dyDescent="0.25">
      <c r="B11" t="s">
        <v>22</v>
      </c>
      <c r="D11" s="1" t="s">
        <v>23</v>
      </c>
      <c r="E11">
        <v>5</v>
      </c>
      <c r="F11">
        <v>1</v>
      </c>
      <c r="H11">
        <v>4</v>
      </c>
      <c r="I11" t="s">
        <v>244</v>
      </c>
      <c r="J11" t="s">
        <v>247</v>
      </c>
    </row>
    <row r="12" spans="1:10" x14ac:dyDescent="0.25">
      <c r="H12">
        <v>5</v>
      </c>
      <c r="I12" t="s">
        <v>247</v>
      </c>
      <c r="J12" t="s">
        <v>250</v>
      </c>
    </row>
    <row r="13" spans="1:10" x14ac:dyDescent="0.25">
      <c r="H13">
        <v>6</v>
      </c>
      <c r="I13" t="s">
        <v>247</v>
      </c>
      <c r="J13" t="s">
        <v>250</v>
      </c>
    </row>
    <row r="14" spans="1:10" x14ac:dyDescent="0.25">
      <c r="H14">
        <v>7</v>
      </c>
      <c r="I14" t="s">
        <v>250</v>
      </c>
      <c r="J14" t="s">
        <v>253</v>
      </c>
    </row>
    <row r="15" spans="1:10" x14ac:dyDescent="0.25">
      <c r="H15">
        <v>8</v>
      </c>
      <c r="I15" t="s">
        <v>250</v>
      </c>
      <c r="J15" t="s">
        <v>253</v>
      </c>
    </row>
    <row r="16" spans="1:10" x14ac:dyDescent="0.25">
      <c r="H16">
        <v>9</v>
      </c>
      <c r="I16" t="s">
        <v>253</v>
      </c>
      <c r="J16" t="s">
        <v>256</v>
      </c>
    </row>
    <row r="17" spans="8:10" x14ac:dyDescent="0.25">
      <c r="H17">
        <v>10</v>
      </c>
      <c r="I17" t="s">
        <v>253</v>
      </c>
      <c r="J17" t="s">
        <v>259</v>
      </c>
    </row>
    <row r="18" spans="8:10" x14ac:dyDescent="0.25">
      <c r="H18">
        <v>11</v>
      </c>
      <c r="I18" t="s">
        <v>256</v>
      </c>
      <c r="J18" t="s">
        <v>260</v>
      </c>
    </row>
    <row r="19" spans="8:10" x14ac:dyDescent="0.25">
      <c r="H19">
        <v>12</v>
      </c>
      <c r="I19" t="s">
        <v>256</v>
      </c>
      <c r="J19" t="s">
        <v>263</v>
      </c>
    </row>
    <row r="20" spans="8:10" x14ac:dyDescent="0.25">
      <c r="H20">
        <v>13</v>
      </c>
      <c r="I20" t="s">
        <v>259</v>
      </c>
      <c r="J20" t="s">
        <v>264</v>
      </c>
    </row>
    <row r="21" spans="8:10" x14ac:dyDescent="0.25">
      <c r="H21">
        <v>14</v>
      </c>
      <c r="I21" t="s">
        <v>259</v>
      </c>
      <c r="J21" t="s">
        <v>267</v>
      </c>
    </row>
    <row r="22" spans="8:10" x14ac:dyDescent="0.25">
      <c r="H22">
        <v>15</v>
      </c>
      <c r="I22" t="s">
        <v>260</v>
      </c>
      <c r="J22" t="s">
        <v>268</v>
      </c>
    </row>
    <row r="23" spans="8:10" x14ac:dyDescent="0.25">
      <c r="H23">
        <v>16</v>
      </c>
      <c r="I23" t="s">
        <v>260</v>
      </c>
      <c r="J23" t="s">
        <v>271</v>
      </c>
    </row>
    <row r="24" spans="8:10" x14ac:dyDescent="0.25">
      <c r="H24">
        <v>17</v>
      </c>
      <c r="I24" t="s">
        <v>263</v>
      </c>
      <c r="J24" t="s">
        <v>245</v>
      </c>
    </row>
    <row r="25" spans="8:10" x14ac:dyDescent="0.25">
      <c r="H25">
        <v>18</v>
      </c>
      <c r="I25" t="s">
        <v>263</v>
      </c>
      <c r="J25" t="s">
        <v>248</v>
      </c>
    </row>
    <row r="26" spans="8:10" x14ac:dyDescent="0.25">
      <c r="H26">
        <v>19</v>
      </c>
      <c r="I26" t="s">
        <v>264</v>
      </c>
      <c r="J26" t="s">
        <v>251</v>
      </c>
    </row>
    <row r="27" spans="8:10" x14ac:dyDescent="0.25">
      <c r="H27">
        <v>20</v>
      </c>
      <c r="I27" t="s">
        <v>264</v>
      </c>
      <c r="J27" t="s">
        <v>254</v>
      </c>
    </row>
    <row r="28" spans="8:10" x14ac:dyDescent="0.25">
      <c r="H28">
        <v>21</v>
      </c>
      <c r="I28" t="s">
        <v>267</v>
      </c>
      <c r="J28" t="s">
        <v>257</v>
      </c>
    </row>
    <row r="29" spans="8:10" x14ac:dyDescent="0.25">
      <c r="H29">
        <v>22</v>
      </c>
      <c r="I29" t="s">
        <v>267</v>
      </c>
      <c r="J29" t="s">
        <v>261</v>
      </c>
    </row>
    <row r="30" spans="8:10" x14ac:dyDescent="0.25">
      <c r="H30">
        <v>23</v>
      </c>
      <c r="I30" t="s">
        <v>268</v>
      </c>
      <c r="J30" t="s">
        <v>265</v>
      </c>
    </row>
    <row r="31" spans="8:10" x14ac:dyDescent="0.25">
      <c r="H31">
        <v>24</v>
      </c>
      <c r="I31" t="s">
        <v>268</v>
      </c>
      <c r="J31" t="s">
        <v>282</v>
      </c>
    </row>
    <row r="32" spans="8:10" x14ac:dyDescent="0.25">
      <c r="H32">
        <v>25</v>
      </c>
      <c r="I32" t="s">
        <v>271</v>
      </c>
      <c r="J32" t="s">
        <v>284</v>
      </c>
    </row>
    <row r="33" spans="8:10" x14ac:dyDescent="0.25">
      <c r="H33">
        <v>26</v>
      </c>
      <c r="I33" t="s">
        <v>271</v>
      </c>
      <c r="J33" t="s">
        <v>269</v>
      </c>
    </row>
    <row r="34" spans="8:10" x14ac:dyDescent="0.25">
      <c r="H34">
        <v>27</v>
      </c>
      <c r="I34" t="s">
        <v>245</v>
      </c>
      <c r="J34" t="s">
        <v>246</v>
      </c>
    </row>
    <row r="35" spans="8:10" x14ac:dyDescent="0.25">
      <c r="H35">
        <v>28</v>
      </c>
      <c r="I35" t="s">
        <v>245</v>
      </c>
      <c r="J35" t="s">
        <v>246</v>
      </c>
    </row>
    <row r="36" spans="8:10" x14ac:dyDescent="0.25">
      <c r="H36">
        <v>29</v>
      </c>
      <c r="I36" t="s">
        <v>248</v>
      </c>
      <c r="J36" t="s">
        <v>249</v>
      </c>
    </row>
    <row r="37" spans="8:10" x14ac:dyDescent="0.25">
      <c r="H37">
        <v>30</v>
      </c>
      <c r="I37" t="s">
        <v>248</v>
      </c>
      <c r="J37" t="s">
        <v>249</v>
      </c>
    </row>
    <row r="38" spans="8:10" x14ac:dyDescent="0.25">
      <c r="H38">
        <v>31</v>
      </c>
      <c r="I38" t="s">
        <v>251</v>
      </c>
      <c r="J38" t="s">
        <v>252</v>
      </c>
    </row>
    <row r="39" spans="8:10" x14ac:dyDescent="0.25">
      <c r="H39">
        <v>32</v>
      </c>
      <c r="I39" t="s">
        <v>251</v>
      </c>
      <c r="J39" t="s">
        <v>252</v>
      </c>
    </row>
    <row r="40" spans="8:10" x14ac:dyDescent="0.25">
      <c r="H40">
        <v>33</v>
      </c>
      <c r="I40" t="s">
        <v>254</v>
      </c>
      <c r="J40" t="s">
        <v>255</v>
      </c>
    </row>
    <row r="41" spans="8:10" x14ac:dyDescent="0.25">
      <c r="H41">
        <v>34</v>
      </c>
      <c r="I41" t="s">
        <v>254</v>
      </c>
      <c r="J41" t="s">
        <v>255</v>
      </c>
    </row>
    <row r="42" spans="8:10" x14ac:dyDescent="0.25">
      <c r="H42">
        <v>35</v>
      </c>
      <c r="I42" t="s">
        <v>257</v>
      </c>
      <c r="J42" t="s">
        <v>258</v>
      </c>
    </row>
    <row r="43" spans="8:10" x14ac:dyDescent="0.25">
      <c r="H43">
        <v>36</v>
      </c>
      <c r="I43" t="s">
        <v>257</v>
      </c>
      <c r="J43" t="s">
        <v>258</v>
      </c>
    </row>
    <row r="44" spans="8:10" x14ac:dyDescent="0.25">
      <c r="H44">
        <v>37</v>
      </c>
      <c r="I44" t="s">
        <v>261</v>
      </c>
      <c r="J44" t="s">
        <v>262</v>
      </c>
    </row>
    <row r="45" spans="8:10" x14ac:dyDescent="0.25">
      <c r="H45">
        <v>38</v>
      </c>
      <c r="I45" t="s">
        <v>261</v>
      </c>
      <c r="J45" t="s">
        <v>262</v>
      </c>
    </row>
    <row r="46" spans="8:10" x14ac:dyDescent="0.25">
      <c r="H46">
        <v>39</v>
      </c>
      <c r="I46" t="s">
        <v>265</v>
      </c>
      <c r="J46" t="s">
        <v>266</v>
      </c>
    </row>
    <row r="47" spans="8:10" x14ac:dyDescent="0.25">
      <c r="H47">
        <v>40</v>
      </c>
      <c r="I47" t="s">
        <v>265</v>
      </c>
      <c r="J47" t="s">
        <v>266</v>
      </c>
    </row>
    <row r="48" spans="8:10" x14ac:dyDescent="0.25">
      <c r="H48">
        <v>45</v>
      </c>
      <c r="I48" t="s">
        <v>269</v>
      </c>
      <c r="J48" t="s">
        <v>270</v>
      </c>
    </row>
    <row r="49" spans="8:10" x14ac:dyDescent="0.25">
      <c r="H49">
        <v>50</v>
      </c>
      <c r="I49" t="s">
        <v>249</v>
      </c>
      <c r="J49" t="s">
        <v>272</v>
      </c>
    </row>
    <row r="50" spans="8:10" x14ac:dyDescent="0.25">
      <c r="H50">
        <v>55</v>
      </c>
      <c r="I50" t="s">
        <v>255</v>
      </c>
      <c r="J50" t="s">
        <v>273</v>
      </c>
    </row>
    <row r="51" spans="8:10" x14ac:dyDescent="0.25">
      <c r="H51">
        <v>60</v>
      </c>
      <c r="I51" t="s">
        <v>266</v>
      </c>
      <c r="J51" t="s">
        <v>274</v>
      </c>
    </row>
    <row r="52" spans="8:10" x14ac:dyDescent="0.25">
      <c r="H52">
        <v>65</v>
      </c>
      <c r="I52" t="s">
        <v>270</v>
      </c>
      <c r="J52" t="s">
        <v>275</v>
      </c>
    </row>
    <row r="53" spans="8:10" x14ac:dyDescent="0.25">
      <c r="H53">
        <v>70</v>
      </c>
      <c r="I53" t="s">
        <v>276</v>
      </c>
      <c r="J53" t="s">
        <v>277</v>
      </c>
    </row>
    <row r="54" spans="8:10" x14ac:dyDescent="0.25">
      <c r="H54">
        <v>75</v>
      </c>
      <c r="I54" t="s">
        <v>278</v>
      </c>
      <c r="J54" t="s">
        <v>279</v>
      </c>
    </row>
    <row r="55" spans="8:10" x14ac:dyDescent="0.25">
      <c r="H55">
        <v>80</v>
      </c>
      <c r="I55" t="s">
        <v>274</v>
      </c>
      <c r="J55" t="s">
        <v>280</v>
      </c>
    </row>
    <row r="56" spans="8:10" x14ac:dyDescent="0.25">
      <c r="H56">
        <v>85</v>
      </c>
      <c r="I56" t="s">
        <v>275</v>
      </c>
      <c r="J56" t="s">
        <v>281</v>
      </c>
    </row>
    <row r="57" spans="8:10" x14ac:dyDescent="0.25">
      <c r="H57">
        <v>90</v>
      </c>
      <c r="I57" t="s">
        <v>277</v>
      </c>
      <c r="J57" t="s">
        <v>283</v>
      </c>
    </row>
    <row r="58" spans="8:10" x14ac:dyDescent="0.25">
      <c r="H58">
        <v>95</v>
      </c>
      <c r="I58" t="s">
        <v>279</v>
      </c>
      <c r="J58" t="s">
        <v>285</v>
      </c>
    </row>
    <row r="59" spans="8:10" x14ac:dyDescent="0.25">
      <c r="H59">
        <v>100</v>
      </c>
      <c r="I59" t="s">
        <v>280</v>
      </c>
      <c r="J59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645D-0DBD-4EB6-A74A-EE510F1E2A1A}">
  <dimension ref="A2:G131"/>
  <sheetViews>
    <sheetView workbookViewId="0">
      <selection activeCell="F1" sqref="F1:G1048576"/>
    </sheetView>
  </sheetViews>
  <sheetFormatPr defaultRowHeight="15" x14ac:dyDescent="0.25"/>
  <cols>
    <col min="1" max="1" width="25.7109375" bestFit="1" customWidth="1"/>
    <col min="2" max="2" width="25.85546875" bestFit="1" customWidth="1"/>
    <col min="7" max="7" width="11.140625" bestFit="1" customWidth="1"/>
  </cols>
  <sheetData>
    <row r="2" spans="1:7" x14ac:dyDescent="0.25">
      <c r="A2" s="4" t="s">
        <v>51</v>
      </c>
      <c r="B2" s="3" t="s">
        <v>31</v>
      </c>
      <c r="C2" s="4" t="s">
        <v>49</v>
      </c>
      <c r="D2" s="4" t="s">
        <v>34</v>
      </c>
      <c r="E2" s="4" t="s">
        <v>149</v>
      </c>
      <c r="F2" s="4" t="s">
        <v>50</v>
      </c>
      <c r="G2" s="5" t="s">
        <v>171</v>
      </c>
    </row>
    <row r="3" spans="1:7" x14ac:dyDescent="0.25">
      <c r="A3" s="8" t="s">
        <v>52</v>
      </c>
      <c r="B3" s="6" t="s">
        <v>47</v>
      </c>
      <c r="C3" s="7" t="s">
        <v>1</v>
      </c>
      <c r="D3" s="7" t="s">
        <v>39</v>
      </c>
      <c r="E3" s="7"/>
      <c r="F3" s="7">
        <v>174</v>
      </c>
      <c r="G3" s="8"/>
    </row>
    <row r="4" spans="1:7" x14ac:dyDescent="0.25">
      <c r="A4" s="8" t="s">
        <v>52</v>
      </c>
      <c r="B4" s="6" t="s">
        <v>69</v>
      </c>
      <c r="C4" s="7" t="s">
        <v>1</v>
      </c>
      <c r="D4" s="7" t="s">
        <v>40</v>
      </c>
      <c r="E4" s="7"/>
      <c r="F4" s="7">
        <v>183</v>
      </c>
      <c r="G4" s="9"/>
    </row>
    <row r="5" spans="1:7" x14ac:dyDescent="0.25">
      <c r="A5" s="8" t="s">
        <v>52</v>
      </c>
      <c r="B5" s="6" t="s">
        <v>91</v>
      </c>
      <c r="C5" s="7" t="s">
        <v>1</v>
      </c>
      <c r="D5" s="7" t="s">
        <v>41</v>
      </c>
      <c r="E5" s="7"/>
      <c r="F5" s="7">
        <v>203</v>
      </c>
      <c r="G5" s="8"/>
    </row>
    <row r="6" spans="1:7" x14ac:dyDescent="0.25">
      <c r="A6" s="8" t="s">
        <v>52</v>
      </c>
      <c r="B6" s="6" t="s">
        <v>98</v>
      </c>
      <c r="C6" s="7" t="s">
        <v>3</v>
      </c>
      <c r="D6" s="7" t="s">
        <v>40</v>
      </c>
      <c r="E6" s="7"/>
      <c r="F6" s="7">
        <v>205</v>
      </c>
      <c r="G6" s="8"/>
    </row>
    <row r="7" spans="1:7" x14ac:dyDescent="0.25">
      <c r="A7" s="8" t="s">
        <v>52</v>
      </c>
      <c r="B7" s="6" t="s">
        <v>160</v>
      </c>
      <c r="C7" s="7" t="s">
        <v>1</v>
      </c>
      <c r="D7" s="7" t="s">
        <v>40</v>
      </c>
      <c r="E7" s="7"/>
      <c r="F7" s="7">
        <v>217</v>
      </c>
      <c r="G7" s="9"/>
    </row>
    <row r="8" spans="1:7" x14ac:dyDescent="0.25">
      <c r="A8" s="8" t="s">
        <v>52</v>
      </c>
      <c r="B8" s="6" t="s">
        <v>115</v>
      </c>
      <c r="C8" s="7" t="s">
        <v>3</v>
      </c>
      <c r="D8" s="7" t="s">
        <v>40</v>
      </c>
      <c r="E8" s="7"/>
      <c r="F8" s="7">
        <v>218</v>
      </c>
      <c r="G8" s="8"/>
    </row>
    <row r="9" spans="1:7" x14ac:dyDescent="0.25">
      <c r="A9" s="8" t="s">
        <v>52</v>
      </c>
      <c r="B9" s="6" t="s">
        <v>122</v>
      </c>
      <c r="C9" s="7" t="s">
        <v>3</v>
      </c>
      <c r="D9" s="7" t="s">
        <v>39</v>
      </c>
      <c r="E9" s="7"/>
      <c r="F9" s="7">
        <v>221</v>
      </c>
      <c r="G9" s="8"/>
    </row>
    <row r="10" spans="1:7" x14ac:dyDescent="0.25">
      <c r="A10" s="8" t="s">
        <v>52</v>
      </c>
      <c r="B10" s="6" t="s">
        <v>163</v>
      </c>
      <c r="C10" s="7" t="s">
        <v>5</v>
      </c>
      <c r="D10" s="7" t="s">
        <v>40</v>
      </c>
      <c r="E10" s="7"/>
      <c r="F10" s="7">
        <v>223</v>
      </c>
      <c r="G10" s="8"/>
    </row>
    <row r="11" spans="1:7" x14ac:dyDescent="0.25">
      <c r="A11" s="8" t="s">
        <v>52</v>
      </c>
      <c r="B11" s="6" t="s">
        <v>131</v>
      </c>
      <c r="C11" s="7" t="s">
        <v>3</v>
      </c>
      <c r="D11" s="7" t="s">
        <v>41</v>
      </c>
      <c r="E11" s="7"/>
      <c r="F11" s="7">
        <v>224</v>
      </c>
      <c r="G11" s="8"/>
    </row>
    <row r="12" spans="1:7" x14ac:dyDescent="0.25">
      <c r="A12" s="8" t="s">
        <v>52</v>
      </c>
      <c r="B12" s="6" t="s">
        <v>134</v>
      </c>
      <c r="C12" s="7" t="s">
        <v>5</v>
      </c>
      <c r="D12" s="7" t="s">
        <v>40</v>
      </c>
      <c r="E12" s="7"/>
      <c r="F12" s="7">
        <v>226</v>
      </c>
      <c r="G12" s="8"/>
    </row>
    <row r="13" spans="1:7" x14ac:dyDescent="0.25">
      <c r="A13" s="8" t="s">
        <v>169</v>
      </c>
      <c r="B13" s="6" t="s">
        <v>57</v>
      </c>
      <c r="C13" s="7" t="s">
        <v>5</v>
      </c>
      <c r="D13" s="7" t="s">
        <v>38</v>
      </c>
      <c r="E13" s="7"/>
      <c r="F13" s="7">
        <v>180</v>
      </c>
      <c r="G13" s="8"/>
    </row>
    <row r="14" spans="1:7" x14ac:dyDescent="0.25">
      <c r="A14" s="8" t="s">
        <v>169</v>
      </c>
      <c r="B14" s="6" t="s">
        <v>65</v>
      </c>
      <c r="C14" s="7" t="s">
        <v>2</v>
      </c>
      <c r="D14" s="7" t="s">
        <v>39</v>
      </c>
      <c r="E14" s="7"/>
      <c r="F14" s="7">
        <v>182</v>
      </c>
      <c r="G14" s="8" t="s">
        <v>172</v>
      </c>
    </row>
    <row r="15" spans="1:7" x14ac:dyDescent="0.25">
      <c r="A15" s="9" t="s">
        <v>169</v>
      </c>
      <c r="B15" s="6" t="s">
        <v>153</v>
      </c>
      <c r="C15" s="7" t="s">
        <v>2</v>
      </c>
      <c r="D15" s="7" t="s">
        <v>40</v>
      </c>
      <c r="E15" s="7"/>
      <c r="F15" s="7">
        <v>194</v>
      </c>
      <c r="G15" s="8"/>
    </row>
    <row r="16" spans="1:7" x14ac:dyDescent="0.25">
      <c r="A16" s="8" t="s">
        <v>169</v>
      </c>
      <c r="B16" s="6" t="s">
        <v>154</v>
      </c>
      <c r="C16" s="7" t="s">
        <v>1</v>
      </c>
      <c r="D16" s="7" t="s">
        <v>41</v>
      </c>
      <c r="E16" s="7"/>
      <c r="F16" s="7">
        <v>194</v>
      </c>
      <c r="G16" s="8"/>
    </row>
    <row r="17" spans="1:7" x14ac:dyDescent="0.25">
      <c r="A17" s="8" t="s">
        <v>169</v>
      </c>
      <c r="B17" s="6" t="s">
        <v>107</v>
      </c>
      <c r="C17" s="7" t="s">
        <v>1</v>
      </c>
      <c r="D17" s="7" t="s">
        <v>39</v>
      </c>
      <c r="E17" s="7"/>
      <c r="F17" s="7">
        <v>212</v>
      </c>
      <c r="G17" s="8"/>
    </row>
    <row r="18" spans="1:7" x14ac:dyDescent="0.25">
      <c r="A18" s="8" t="s">
        <v>169</v>
      </c>
      <c r="B18" s="6" t="s">
        <v>110</v>
      </c>
      <c r="C18" s="7" t="s">
        <v>4</v>
      </c>
      <c r="D18" s="7" t="s">
        <v>39</v>
      </c>
      <c r="E18" s="7"/>
      <c r="F18" s="7">
        <v>215</v>
      </c>
      <c r="G18" s="8" t="s">
        <v>172</v>
      </c>
    </row>
    <row r="19" spans="1:7" x14ac:dyDescent="0.25">
      <c r="A19" s="8" t="s">
        <v>169</v>
      </c>
      <c r="B19" s="6" t="s">
        <v>111</v>
      </c>
      <c r="C19" s="7" t="s">
        <v>2</v>
      </c>
      <c r="D19" s="7" t="s">
        <v>39</v>
      </c>
      <c r="E19" s="7"/>
      <c r="F19" s="7">
        <v>215</v>
      </c>
      <c r="G19" s="8" t="s">
        <v>172</v>
      </c>
    </row>
    <row r="20" spans="1:7" x14ac:dyDescent="0.25">
      <c r="A20" s="8" t="s">
        <v>169</v>
      </c>
      <c r="B20" s="6" t="s">
        <v>113</v>
      </c>
      <c r="C20" s="7" t="s">
        <v>1</v>
      </c>
      <c r="D20" s="7" t="s">
        <v>39</v>
      </c>
      <c r="E20" s="7"/>
      <c r="F20" s="7">
        <v>216</v>
      </c>
      <c r="G20" s="8" t="s">
        <v>172</v>
      </c>
    </row>
    <row r="21" spans="1:7" x14ac:dyDescent="0.25">
      <c r="A21" s="8" t="s">
        <v>166</v>
      </c>
      <c r="B21" s="6" t="s">
        <v>165</v>
      </c>
      <c r="C21" s="7" t="s">
        <v>2</v>
      </c>
      <c r="D21" s="7" t="s">
        <v>40</v>
      </c>
      <c r="E21" s="7"/>
      <c r="F21" s="7">
        <v>178</v>
      </c>
      <c r="G21" s="8"/>
    </row>
    <row r="22" spans="1:7" x14ac:dyDescent="0.25">
      <c r="A22" s="8" t="s">
        <v>166</v>
      </c>
      <c r="B22" s="6" t="s">
        <v>141</v>
      </c>
      <c r="C22" s="7" t="s">
        <v>2</v>
      </c>
      <c r="D22" s="7" t="s">
        <v>40</v>
      </c>
      <c r="E22" s="7"/>
      <c r="F22" s="7">
        <v>183</v>
      </c>
      <c r="G22" s="8"/>
    </row>
    <row r="23" spans="1:7" x14ac:dyDescent="0.25">
      <c r="A23" s="8" t="s">
        <v>166</v>
      </c>
      <c r="B23" s="6" t="s">
        <v>71</v>
      </c>
      <c r="C23" s="7" t="s">
        <v>2</v>
      </c>
      <c r="D23" s="7" t="s">
        <v>40</v>
      </c>
      <c r="E23" s="7"/>
      <c r="F23" s="7">
        <v>185</v>
      </c>
      <c r="G23" s="8"/>
    </row>
    <row r="24" spans="1:7" x14ac:dyDescent="0.25">
      <c r="A24" s="8" t="s">
        <v>166</v>
      </c>
      <c r="B24" s="6" t="s">
        <v>80</v>
      </c>
      <c r="C24" s="7" t="s">
        <v>5</v>
      </c>
      <c r="D24" s="7" t="s">
        <v>41</v>
      </c>
      <c r="E24" s="7"/>
      <c r="F24" s="7">
        <v>195</v>
      </c>
      <c r="G24" s="8"/>
    </row>
    <row r="25" spans="1:7" x14ac:dyDescent="0.25">
      <c r="A25" s="8" t="s">
        <v>166</v>
      </c>
      <c r="B25" s="6" t="s">
        <v>83</v>
      </c>
      <c r="C25" s="7" t="s">
        <v>2</v>
      </c>
      <c r="D25" s="7" t="s">
        <v>41</v>
      </c>
      <c r="E25" s="7"/>
      <c r="F25" s="7">
        <v>197</v>
      </c>
      <c r="G25" s="8"/>
    </row>
    <row r="26" spans="1:7" x14ac:dyDescent="0.25">
      <c r="A26" s="8" t="s">
        <v>166</v>
      </c>
      <c r="B26" s="6" t="s">
        <v>175</v>
      </c>
      <c r="C26" s="7" t="s">
        <v>2</v>
      </c>
      <c r="D26" s="7" t="s">
        <v>39</v>
      </c>
      <c r="E26" s="7"/>
      <c r="F26" s="7">
        <v>203</v>
      </c>
      <c r="G26" s="8"/>
    </row>
    <row r="27" spans="1:7" x14ac:dyDescent="0.25">
      <c r="A27" s="8" t="s">
        <v>166</v>
      </c>
      <c r="B27" s="6" t="s">
        <v>97</v>
      </c>
      <c r="C27" s="7" t="s">
        <v>1</v>
      </c>
      <c r="D27" s="7" t="s">
        <v>41</v>
      </c>
      <c r="E27" s="7"/>
      <c r="F27" s="7">
        <v>205</v>
      </c>
      <c r="G27" s="8"/>
    </row>
    <row r="28" spans="1:7" x14ac:dyDescent="0.25">
      <c r="A28" s="8" t="s">
        <v>166</v>
      </c>
      <c r="B28" s="6" t="s">
        <v>174</v>
      </c>
      <c r="C28" s="7" t="s">
        <v>1</v>
      </c>
      <c r="D28" s="7" t="s">
        <v>41</v>
      </c>
      <c r="E28" s="7"/>
      <c r="F28" s="7">
        <v>203</v>
      </c>
      <c r="G28" s="8"/>
    </row>
    <row r="29" spans="1:7" x14ac:dyDescent="0.25">
      <c r="A29" s="8" t="s">
        <v>166</v>
      </c>
      <c r="B29" s="6" t="s">
        <v>176</v>
      </c>
      <c r="C29" s="7" t="s">
        <v>2</v>
      </c>
      <c r="D29" s="7" t="s">
        <v>41</v>
      </c>
      <c r="E29" s="7"/>
      <c r="F29" s="7">
        <v>207</v>
      </c>
      <c r="G29" s="8"/>
    </row>
    <row r="30" spans="1:7" x14ac:dyDescent="0.25">
      <c r="A30" s="8" t="s">
        <v>166</v>
      </c>
      <c r="B30" s="6" t="s">
        <v>167</v>
      </c>
      <c r="C30" s="7" t="s">
        <v>2</v>
      </c>
      <c r="D30" s="7" t="s">
        <v>40</v>
      </c>
      <c r="E30" s="7"/>
      <c r="F30" s="7">
        <v>178</v>
      </c>
      <c r="G30" s="8"/>
    </row>
    <row r="31" spans="1:7" x14ac:dyDescent="0.25">
      <c r="A31" s="9" t="s">
        <v>166</v>
      </c>
      <c r="B31" s="6" t="s">
        <v>168</v>
      </c>
      <c r="C31" s="7" t="s">
        <v>2</v>
      </c>
      <c r="D31" s="7" t="s">
        <v>39</v>
      </c>
      <c r="E31" s="7"/>
      <c r="F31" s="7">
        <v>179</v>
      </c>
      <c r="G31" s="8"/>
    </row>
    <row r="32" spans="1:7" x14ac:dyDescent="0.25">
      <c r="A32" s="8" t="s">
        <v>55</v>
      </c>
      <c r="B32" s="6" t="s">
        <v>148</v>
      </c>
      <c r="C32" s="7" t="s">
        <v>2</v>
      </c>
      <c r="D32" s="7" t="s">
        <v>41</v>
      </c>
      <c r="E32" s="7"/>
      <c r="F32" s="7">
        <v>176</v>
      </c>
      <c r="G32" s="8"/>
    </row>
    <row r="33" spans="1:7" x14ac:dyDescent="0.25">
      <c r="A33" s="8" t="s">
        <v>55</v>
      </c>
      <c r="B33" s="6" t="s">
        <v>99</v>
      </c>
      <c r="C33" s="7" t="s">
        <v>2</v>
      </c>
      <c r="D33" s="7" t="s">
        <v>39</v>
      </c>
      <c r="E33" s="7"/>
      <c r="F33" s="7">
        <v>205</v>
      </c>
      <c r="G33" s="8"/>
    </row>
    <row r="34" spans="1:7" x14ac:dyDescent="0.25">
      <c r="A34" s="8" t="s">
        <v>55</v>
      </c>
      <c r="B34" s="6" t="s">
        <v>189</v>
      </c>
      <c r="C34" s="7" t="s">
        <v>2</v>
      </c>
      <c r="D34" s="7" t="s">
        <v>38</v>
      </c>
      <c r="E34" s="7"/>
      <c r="F34" s="7">
        <v>174</v>
      </c>
      <c r="G34" s="8"/>
    </row>
    <row r="35" spans="1:7" x14ac:dyDescent="0.25">
      <c r="A35" s="9" t="s">
        <v>55</v>
      </c>
      <c r="B35" s="6" t="s">
        <v>190</v>
      </c>
      <c r="C35" s="7" t="s">
        <v>2</v>
      </c>
      <c r="D35" s="7" t="s">
        <v>41</v>
      </c>
      <c r="E35" s="7"/>
      <c r="F35" s="7">
        <v>186</v>
      </c>
      <c r="G35" s="8"/>
    </row>
    <row r="36" spans="1:7" x14ac:dyDescent="0.25">
      <c r="A36" s="8" t="s">
        <v>55</v>
      </c>
      <c r="B36" s="6" t="s">
        <v>177</v>
      </c>
      <c r="C36" s="7" t="s">
        <v>2</v>
      </c>
      <c r="D36" s="7" t="s">
        <v>40</v>
      </c>
      <c r="E36" s="7"/>
      <c r="F36" s="7">
        <v>199</v>
      </c>
      <c r="G36" s="8"/>
    </row>
    <row r="37" spans="1:7" x14ac:dyDescent="0.25">
      <c r="A37" s="8" t="s">
        <v>55</v>
      </c>
      <c r="B37" s="6" t="s">
        <v>178</v>
      </c>
      <c r="C37" s="7" t="s">
        <v>2</v>
      </c>
      <c r="D37" s="7" t="s">
        <v>40</v>
      </c>
      <c r="E37" s="7"/>
      <c r="F37" s="7">
        <v>199</v>
      </c>
      <c r="G37" s="8"/>
    </row>
    <row r="38" spans="1:7" x14ac:dyDescent="0.25">
      <c r="A38" s="8" t="s">
        <v>55</v>
      </c>
      <c r="B38" s="6" t="s">
        <v>181</v>
      </c>
      <c r="C38" s="7" t="s">
        <v>2</v>
      </c>
      <c r="D38" s="7" t="s">
        <v>39</v>
      </c>
      <c r="E38" s="7"/>
      <c r="F38" s="7">
        <v>198</v>
      </c>
      <c r="G38" s="8"/>
    </row>
    <row r="39" spans="1:7" x14ac:dyDescent="0.25">
      <c r="A39" s="8" t="s">
        <v>55</v>
      </c>
      <c r="B39" s="6" t="s">
        <v>185</v>
      </c>
      <c r="C39" s="7" t="s">
        <v>2</v>
      </c>
      <c r="D39" s="7" t="s">
        <v>39</v>
      </c>
      <c r="E39" s="7"/>
      <c r="F39" s="7">
        <v>209</v>
      </c>
      <c r="G39" s="8"/>
    </row>
    <row r="40" spans="1:7" x14ac:dyDescent="0.25">
      <c r="A40" s="8" t="s">
        <v>55</v>
      </c>
      <c r="B40" s="6" t="s">
        <v>180</v>
      </c>
      <c r="C40" s="7" t="s">
        <v>2</v>
      </c>
      <c r="D40" s="7" t="s">
        <v>40</v>
      </c>
      <c r="E40" s="7"/>
      <c r="F40" s="7">
        <v>199</v>
      </c>
      <c r="G40" s="8"/>
    </row>
    <row r="41" spans="1:7" x14ac:dyDescent="0.25">
      <c r="A41" s="8" t="s">
        <v>55</v>
      </c>
      <c r="B41" s="6" t="s">
        <v>188</v>
      </c>
      <c r="C41" s="7" t="s">
        <v>2</v>
      </c>
      <c r="D41" s="7" t="s">
        <v>38</v>
      </c>
      <c r="E41" s="7"/>
      <c r="F41" s="7">
        <v>199</v>
      </c>
      <c r="G41" s="8"/>
    </row>
    <row r="42" spans="1:7" x14ac:dyDescent="0.25">
      <c r="A42" s="8" t="s">
        <v>55</v>
      </c>
      <c r="B42" s="6" t="s">
        <v>182</v>
      </c>
      <c r="C42" s="7" t="s">
        <v>2</v>
      </c>
      <c r="D42" s="7" t="s">
        <v>39</v>
      </c>
      <c r="E42" s="7"/>
      <c r="F42" s="7">
        <v>200</v>
      </c>
      <c r="G42" s="8"/>
    </row>
    <row r="43" spans="1:7" x14ac:dyDescent="0.25">
      <c r="A43" s="8" t="s">
        <v>55</v>
      </c>
      <c r="B43" s="6" t="s">
        <v>187</v>
      </c>
      <c r="C43" s="7" t="s">
        <v>2</v>
      </c>
      <c r="D43" s="7" t="s">
        <v>39</v>
      </c>
      <c r="E43" s="7"/>
      <c r="F43" s="7">
        <v>204</v>
      </c>
      <c r="G43" s="8"/>
    </row>
    <row r="44" spans="1:7" x14ac:dyDescent="0.25">
      <c r="A44" s="8" t="s">
        <v>55</v>
      </c>
      <c r="B44" s="6" t="s">
        <v>186</v>
      </c>
      <c r="C44" s="7" t="s">
        <v>2</v>
      </c>
      <c r="D44" s="7" t="s">
        <v>39</v>
      </c>
      <c r="E44" s="7"/>
      <c r="F44" s="7">
        <v>211</v>
      </c>
      <c r="G44" s="8"/>
    </row>
    <row r="45" spans="1:7" x14ac:dyDescent="0.25">
      <c r="A45" s="8" t="s">
        <v>55</v>
      </c>
      <c r="B45" s="6" t="s">
        <v>179</v>
      </c>
      <c r="C45" s="7" t="s">
        <v>2</v>
      </c>
      <c r="D45" s="7" t="s">
        <v>40</v>
      </c>
      <c r="E45" s="7"/>
      <c r="F45" s="7">
        <v>199</v>
      </c>
      <c r="G45" s="8"/>
    </row>
    <row r="46" spans="1:7" x14ac:dyDescent="0.25">
      <c r="A46" s="8" t="s">
        <v>55</v>
      </c>
      <c r="B46" s="6" t="s">
        <v>184</v>
      </c>
      <c r="C46" s="7" t="s">
        <v>2</v>
      </c>
      <c r="D46" s="7" t="s">
        <v>38</v>
      </c>
      <c r="E46" s="7"/>
      <c r="F46" s="7">
        <v>225</v>
      </c>
      <c r="G46" s="8"/>
    </row>
    <row r="47" spans="1:7" x14ac:dyDescent="0.25">
      <c r="A47" s="8" t="s">
        <v>55</v>
      </c>
      <c r="B47" s="6" t="s">
        <v>183</v>
      </c>
      <c r="C47" s="7" t="s">
        <v>2</v>
      </c>
      <c r="D47" s="7" t="s">
        <v>39</v>
      </c>
      <c r="E47" s="7"/>
      <c r="F47" s="7">
        <v>226</v>
      </c>
      <c r="G47" s="8"/>
    </row>
    <row r="48" spans="1:7" x14ac:dyDescent="0.25">
      <c r="A48" s="8" t="s">
        <v>55</v>
      </c>
      <c r="B48" s="6" t="s">
        <v>159</v>
      </c>
      <c r="C48" s="7" t="s">
        <v>2</v>
      </c>
      <c r="D48" s="7" t="s">
        <v>40</v>
      </c>
      <c r="E48" s="7"/>
      <c r="F48" s="7">
        <v>211</v>
      </c>
      <c r="G48" s="8"/>
    </row>
    <row r="49" spans="1:7" x14ac:dyDescent="0.25">
      <c r="A49" s="8" t="s">
        <v>55</v>
      </c>
      <c r="B49" s="6" t="s">
        <v>138</v>
      </c>
      <c r="C49" s="7" t="s">
        <v>2</v>
      </c>
      <c r="D49" s="7" t="s">
        <v>40</v>
      </c>
      <c r="E49" s="7"/>
      <c r="F49" s="7">
        <v>209</v>
      </c>
      <c r="G49" s="8"/>
    </row>
    <row r="50" spans="1:7" x14ac:dyDescent="0.25">
      <c r="A50" s="8" t="s">
        <v>75</v>
      </c>
      <c r="B50" s="6" t="s">
        <v>142</v>
      </c>
      <c r="C50" s="7" t="s">
        <v>2</v>
      </c>
      <c r="D50" s="7" t="s">
        <v>39</v>
      </c>
      <c r="E50" s="7"/>
      <c r="F50" s="7">
        <v>187</v>
      </c>
      <c r="G50" s="8"/>
    </row>
    <row r="51" spans="1:7" x14ac:dyDescent="0.25">
      <c r="A51" s="8" t="s">
        <v>75</v>
      </c>
      <c r="B51" s="6" t="s">
        <v>143</v>
      </c>
      <c r="C51" s="7" t="s">
        <v>2</v>
      </c>
      <c r="D51" s="7" t="s">
        <v>41</v>
      </c>
      <c r="E51" s="7"/>
      <c r="F51" s="7">
        <v>195</v>
      </c>
      <c r="G51" s="9"/>
    </row>
    <row r="52" spans="1:7" x14ac:dyDescent="0.25">
      <c r="A52" s="8" t="s">
        <v>75</v>
      </c>
      <c r="B52" s="6" t="s">
        <v>146</v>
      </c>
      <c r="C52" s="7" t="s">
        <v>2</v>
      </c>
      <c r="D52" s="7" t="s">
        <v>38</v>
      </c>
      <c r="E52" s="7"/>
      <c r="F52" s="7">
        <v>223</v>
      </c>
      <c r="G52" s="8"/>
    </row>
    <row r="53" spans="1:7" x14ac:dyDescent="0.25">
      <c r="A53" s="8" t="s">
        <v>191</v>
      </c>
      <c r="B53" s="6" t="s">
        <v>68</v>
      </c>
      <c r="C53" s="7" t="s">
        <v>4</v>
      </c>
      <c r="D53" s="7" t="s">
        <v>39</v>
      </c>
      <c r="E53" s="7"/>
      <c r="F53" s="7">
        <v>191</v>
      </c>
      <c r="G53" s="8"/>
    </row>
    <row r="54" spans="1:7" x14ac:dyDescent="0.25">
      <c r="A54" s="9" t="s">
        <v>191</v>
      </c>
      <c r="B54" s="6" t="s">
        <v>73</v>
      </c>
      <c r="C54" s="7" t="s">
        <v>1</v>
      </c>
      <c r="D54" s="7" t="s">
        <v>40</v>
      </c>
      <c r="E54" s="7"/>
      <c r="F54" s="7">
        <v>187</v>
      </c>
      <c r="G54" s="8"/>
    </row>
    <row r="55" spans="1:7" x14ac:dyDescent="0.25">
      <c r="A55" s="8" t="s">
        <v>191</v>
      </c>
      <c r="B55" s="6" t="s">
        <v>158</v>
      </c>
      <c r="C55" s="7" t="s">
        <v>2</v>
      </c>
      <c r="D55" s="7" t="s">
        <v>39</v>
      </c>
      <c r="E55" s="7"/>
      <c r="F55" s="7">
        <v>211</v>
      </c>
      <c r="G55" s="8"/>
    </row>
    <row r="56" spans="1:7" x14ac:dyDescent="0.25">
      <c r="A56" s="8" t="s">
        <v>191</v>
      </c>
      <c r="B56" s="6" t="s">
        <v>112</v>
      </c>
      <c r="C56" s="7" t="s">
        <v>2</v>
      </c>
      <c r="D56" s="7" t="s">
        <v>40</v>
      </c>
      <c r="E56" s="7"/>
      <c r="F56" s="7">
        <v>216</v>
      </c>
      <c r="G56" s="8"/>
    </row>
    <row r="57" spans="1:7" x14ac:dyDescent="0.25">
      <c r="A57" s="8" t="s">
        <v>191</v>
      </c>
      <c r="B57" s="6" t="s">
        <v>121</v>
      </c>
      <c r="C57" s="7" t="s">
        <v>3</v>
      </c>
      <c r="D57" s="7" t="s">
        <v>41</v>
      </c>
      <c r="E57" s="7"/>
      <c r="F57" s="7">
        <v>220</v>
      </c>
      <c r="G57" s="8"/>
    </row>
    <row r="58" spans="1:7" x14ac:dyDescent="0.25">
      <c r="A58" s="8" t="s">
        <v>173</v>
      </c>
      <c r="B58" s="6" t="s">
        <v>59</v>
      </c>
      <c r="C58" s="7" t="s">
        <v>3</v>
      </c>
      <c r="D58" s="7" t="s">
        <v>38</v>
      </c>
      <c r="E58" s="7"/>
      <c r="F58" s="7">
        <v>181</v>
      </c>
      <c r="G58" s="8" t="s">
        <v>172</v>
      </c>
    </row>
    <row r="59" spans="1:7" x14ac:dyDescent="0.25">
      <c r="A59" s="8" t="s">
        <v>173</v>
      </c>
      <c r="B59" s="6" t="s">
        <v>60</v>
      </c>
      <c r="C59" s="7" t="s">
        <v>1</v>
      </c>
      <c r="D59" s="7" t="s">
        <v>39</v>
      </c>
      <c r="E59" s="7"/>
      <c r="F59" s="7">
        <v>181</v>
      </c>
      <c r="G59" s="8"/>
    </row>
    <row r="60" spans="1:7" x14ac:dyDescent="0.25">
      <c r="A60" s="8" t="s">
        <v>173</v>
      </c>
      <c r="B60" s="6" t="s">
        <v>102</v>
      </c>
      <c r="C60" s="7" t="s">
        <v>4</v>
      </c>
      <c r="D60" s="7" t="s">
        <v>39</v>
      </c>
      <c r="E60" s="7"/>
      <c r="F60" s="7">
        <v>207</v>
      </c>
      <c r="G60" s="8"/>
    </row>
    <row r="61" spans="1:7" x14ac:dyDescent="0.25">
      <c r="A61" s="8" t="s">
        <v>173</v>
      </c>
      <c r="B61" s="6" t="s">
        <v>104</v>
      </c>
      <c r="C61" s="7" t="s">
        <v>4</v>
      </c>
      <c r="D61" s="7" t="s">
        <v>40</v>
      </c>
      <c r="E61" s="7"/>
      <c r="F61" s="7">
        <v>210</v>
      </c>
      <c r="G61" s="8"/>
    </row>
    <row r="62" spans="1:7" x14ac:dyDescent="0.25">
      <c r="A62" s="8" t="s">
        <v>53</v>
      </c>
      <c r="B62" s="6" t="s">
        <v>48</v>
      </c>
      <c r="C62" s="7" t="s">
        <v>2</v>
      </c>
      <c r="D62" s="7" t="s">
        <v>40</v>
      </c>
      <c r="E62" s="7"/>
      <c r="F62" s="7">
        <v>174</v>
      </c>
      <c r="G62" s="8"/>
    </row>
    <row r="63" spans="1:7" x14ac:dyDescent="0.25">
      <c r="A63" s="9" t="s">
        <v>53</v>
      </c>
      <c r="B63" s="6" t="s">
        <v>150</v>
      </c>
      <c r="C63" s="7" t="s">
        <v>2</v>
      </c>
      <c r="D63" s="7" t="s">
        <v>40</v>
      </c>
      <c r="E63" s="7"/>
      <c r="F63" s="7">
        <v>175</v>
      </c>
      <c r="G63" s="8"/>
    </row>
    <row r="64" spans="1:7" x14ac:dyDescent="0.25">
      <c r="A64" s="8" t="s">
        <v>53</v>
      </c>
      <c r="B64" s="6" t="s">
        <v>74</v>
      </c>
      <c r="C64" s="7" t="s">
        <v>5</v>
      </c>
      <c r="D64" s="7" t="s">
        <v>39</v>
      </c>
      <c r="E64" s="7"/>
      <c r="F64" s="7">
        <v>187</v>
      </c>
      <c r="G64" s="8"/>
    </row>
    <row r="65" spans="1:7" x14ac:dyDescent="0.25">
      <c r="A65" s="8" t="s">
        <v>53</v>
      </c>
      <c r="B65" s="6" t="s">
        <v>76</v>
      </c>
      <c r="C65" s="7" t="s">
        <v>2</v>
      </c>
      <c r="D65" s="7" t="s">
        <v>39</v>
      </c>
      <c r="E65" s="7"/>
      <c r="F65" s="7">
        <v>187</v>
      </c>
      <c r="G65" s="9"/>
    </row>
    <row r="66" spans="1:7" x14ac:dyDescent="0.25">
      <c r="A66" s="8" t="s">
        <v>53</v>
      </c>
      <c r="B66" s="6" t="s">
        <v>152</v>
      </c>
      <c r="C66" s="7" t="s">
        <v>2</v>
      </c>
      <c r="D66" s="7" t="s">
        <v>40</v>
      </c>
      <c r="E66" s="7"/>
      <c r="F66" s="7">
        <v>187</v>
      </c>
      <c r="G66" s="8"/>
    </row>
    <row r="67" spans="1:7" x14ac:dyDescent="0.25">
      <c r="A67" s="9" t="s">
        <v>53</v>
      </c>
      <c r="B67" s="6" t="s">
        <v>78</v>
      </c>
      <c r="C67" s="7" t="s">
        <v>2</v>
      </c>
      <c r="D67" s="7" t="s">
        <v>40</v>
      </c>
      <c r="E67" s="7"/>
      <c r="F67" s="7">
        <v>195</v>
      </c>
      <c r="G67" s="9"/>
    </row>
    <row r="68" spans="1:7" x14ac:dyDescent="0.25">
      <c r="A68" s="9" t="s">
        <v>53</v>
      </c>
      <c r="B68" s="6" t="s">
        <v>82</v>
      </c>
      <c r="C68" s="7" t="s">
        <v>2</v>
      </c>
      <c r="D68" s="7" t="s">
        <v>40</v>
      </c>
      <c r="E68" s="7"/>
      <c r="F68" s="7">
        <v>197</v>
      </c>
      <c r="G68" s="8"/>
    </row>
    <row r="69" spans="1:7" x14ac:dyDescent="0.25">
      <c r="A69" s="8" t="s">
        <v>129</v>
      </c>
      <c r="B69" s="6" t="s">
        <v>85</v>
      </c>
      <c r="C69" s="7" t="s">
        <v>2</v>
      </c>
      <c r="D69" s="7" t="s">
        <v>41</v>
      </c>
      <c r="E69" s="7"/>
      <c r="F69" s="7">
        <v>198</v>
      </c>
      <c r="G69" s="9"/>
    </row>
    <row r="70" spans="1:7" x14ac:dyDescent="0.25">
      <c r="A70" s="8" t="s">
        <v>53</v>
      </c>
      <c r="B70" s="6" t="s">
        <v>87</v>
      </c>
      <c r="C70" s="7" t="s">
        <v>2</v>
      </c>
      <c r="D70" s="7" t="s">
        <v>40</v>
      </c>
      <c r="E70" s="7"/>
      <c r="F70" s="7">
        <v>202</v>
      </c>
      <c r="G70" s="9"/>
    </row>
    <row r="71" spans="1:7" x14ac:dyDescent="0.25">
      <c r="A71" s="9" t="s">
        <v>53</v>
      </c>
      <c r="B71" s="6" t="s">
        <v>88</v>
      </c>
      <c r="C71" s="7" t="s">
        <v>4</v>
      </c>
      <c r="D71" s="7" t="s">
        <v>40</v>
      </c>
      <c r="E71" s="7"/>
      <c r="F71" s="7">
        <v>202</v>
      </c>
      <c r="G71" s="8"/>
    </row>
    <row r="72" spans="1:7" x14ac:dyDescent="0.25">
      <c r="A72" s="8" t="s">
        <v>53</v>
      </c>
      <c r="B72" s="6" t="s">
        <v>96</v>
      </c>
      <c r="C72" s="7" t="s">
        <v>2</v>
      </c>
      <c r="D72" s="7" t="s">
        <v>40</v>
      </c>
      <c r="E72" s="7"/>
      <c r="F72" s="7">
        <v>204</v>
      </c>
      <c r="G72" s="8"/>
    </row>
    <row r="73" spans="1:7" x14ac:dyDescent="0.25">
      <c r="A73" s="8" t="s">
        <v>53</v>
      </c>
      <c r="B73" s="6" t="s">
        <v>103</v>
      </c>
      <c r="C73" s="7" t="s">
        <v>2</v>
      </c>
      <c r="D73" s="7" t="s">
        <v>40</v>
      </c>
      <c r="E73" s="7"/>
      <c r="F73" s="7">
        <v>209</v>
      </c>
      <c r="G73" s="8"/>
    </row>
    <row r="74" spans="1:7" x14ac:dyDescent="0.25">
      <c r="A74" s="9" t="s">
        <v>53</v>
      </c>
      <c r="B74" s="6" t="s">
        <v>157</v>
      </c>
      <c r="C74" s="7" t="s">
        <v>2</v>
      </c>
      <c r="D74" s="7" t="s">
        <v>39</v>
      </c>
      <c r="E74" s="7"/>
      <c r="F74" s="7">
        <v>210</v>
      </c>
      <c r="G74" s="8"/>
    </row>
    <row r="75" spans="1:7" x14ac:dyDescent="0.25">
      <c r="A75" s="8" t="s">
        <v>53</v>
      </c>
      <c r="B75" s="6" t="s">
        <v>117</v>
      </c>
      <c r="C75" s="7" t="s">
        <v>5</v>
      </c>
      <c r="D75" s="7" t="s">
        <v>41</v>
      </c>
      <c r="E75" s="7"/>
      <c r="F75" s="7">
        <v>218</v>
      </c>
      <c r="G75" s="9"/>
    </row>
    <row r="76" spans="1:7" x14ac:dyDescent="0.25">
      <c r="A76" s="8" t="s">
        <v>53</v>
      </c>
      <c r="B76" s="6" t="s">
        <v>130</v>
      </c>
      <c r="C76" s="7" t="s">
        <v>2</v>
      </c>
      <c r="D76" s="7" t="s">
        <v>40</v>
      </c>
      <c r="E76" s="7"/>
      <c r="F76" s="7">
        <v>223</v>
      </c>
      <c r="G76" s="9"/>
    </row>
    <row r="77" spans="1:7" x14ac:dyDescent="0.25">
      <c r="A77" s="8" t="s">
        <v>129</v>
      </c>
      <c r="B77" s="6" t="s">
        <v>67</v>
      </c>
      <c r="C77" s="7" t="s">
        <v>2</v>
      </c>
      <c r="D77" s="7" t="s">
        <v>41</v>
      </c>
      <c r="E77" s="7"/>
      <c r="F77" s="7">
        <v>183</v>
      </c>
      <c r="G77" s="8"/>
    </row>
    <row r="78" spans="1:7" x14ac:dyDescent="0.25">
      <c r="A78" s="9" t="s">
        <v>129</v>
      </c>
      <c r="B78" s="6" t="s">
        <v>77</v>
      </c>
      <c r="C78" s="7" t="s">
        <v>1</v>
      </c>
      <c r="D78" s="7" t="s">
        <v>39</v>
      </c>
      <c r="E78" s="7"/>
      <c r="F78" s="7">
        <v>192</v>
      </c>
      <c r="G78" s="8"/>
    </row>
    <row r="79" spans="1:7" x14ac:dyDescent="0.25">
      <c r="A79" s="9" t="s">
        <v>129</v>
      </c>
      <c r="B79" s="6" t="s">
        <v>79</v>
      </c>
      <c r="C79" s="7" t="s">
        <v>1</v>
      </c>
      <c r="D79" s="7" t="s">
        <v>40</v>
      </c>
      <c r="E79" s="7"/>
      <c r="F79" s="7">
        <v>195</v>
      </c>
      <c r="G79" s="8"/>
    </row>
    <row r="80" spans="1:7" x14ac:dyDescent="0.25">
      <c r="A80" s="9" t="s">
        <v>129</v>
      </c>
      <c r="B80" s="6" t="s">
        <v>144</v>
      </c>
      <c r="C80" s="7" t="s">
        <v>2</v>
      </c>
      <c r="D80" s="7" t="s">
        <v>39</v>
      </c>
      <c r="E80" s="7"/>
      <c r="F80" s="7">
        <v>196</v>
      </c>
      <c r="G80" s="8"/>
    </row>
    <row r="81" spans="1:7" x14ac:dyDescent="0.25">
      <c r="A81" s="9" t="s">
        <v>129</v>
      </c>
      <c r="B81" s="6" t="s">
        <v>86</v>
      </c>
      <c r="C81" s="7" t="s">
        <v>2</v>
      </c>
      <c r="D81" s="7" t="s">
        <v>40</v>
      </c>
      <c r="E81" s="7"/>
      <c r="F81" s="7">
        <v>200</v>
      </c>
      <c r="G81" s="9"/>
    </row>
    <row r="82" spans="1:7" x14ac:dyDescent="0.25">
      <c r="A82" s="8" t="s">
        <v>129</v>
      </c>
      <c r="B82" s="6" t="s">
        <v>100</v>
      </c>
      <c r="C82" s="7" t="s">
        <v>5</v>
      </c>
      <c r="D82" s="7" t="s">
        <v>40</v>
      </c>
      <c r="E82" s="7"/>
      <c r="F82" s="7">
        <v>205</v>
      </c>
      <c r="G82" s="8"/>
    </row>
    <row r="83" spans="1:7" x14ac:dyDescent="0.25">
      <c r="A83" s="9" t="s">
        <v>129</v>
      </c>
      <c r="B83" s="6" t="s">
        <v>145</v>
      </c>
      <c r="C83" s="7" t="s">
        <v>2</v>
      </c>
      <c r="D83" s="7" t="s">
        <v>40</v>
      </c>
      <c r="E83" s="7"/>
      <c r="F83" s="7">
        <v>206</v>
      </c>
      <c r="G83" s="8"/>
    </row>
    <row r="84" spans="1:7" x14ac:dyDescent="0.25">
      <c r="A84" s="9" t="s">
        <v>129</v>
      </c>
      <c r="B84" s="6" t="s">
        <v>106</v>
      </c>
      <c r="C84" s="7" t="s">
        <v>5</v>
      </c>
      <c r="D84" s="7" t="s">
        <v>40</v>
      </c>
      <c r="E84" s="7"/>
      <c r="F84" s="7">
        <v>211</v>
      </c>
      <c r="G84" s="9"/>
    </row>
    <row r="85" spans="1:7" x14ac:dyDescent="0.25">
      <c r="A85" s="9" t="s">
        <v>129</v>
      </c>
      <c r="B85" s="6" t="s">
        <v>108</v>
      </c>
      <c r="C85" s="7" t="s">
        <v>1</v>
      </c>
      <c r="D85" s="7" t="s">
        <v>39</v>
      </c>
      <c r="E85" s="7"/>
      <c r="F85" s="7">
        <v>213</v>
      </c>
      <c r="G85" s="8"/>
    </row>
    <row r="86" spans="1:7" x14ac:dyDescent="0.25">
      <c r="A86" s="8" t="s">
        <v>129</v>
      </c>
      <c r="B86" s="6" t="s">
        <v>118</v>
      </c>
      <c r="C86" s="7" t="s">
        <v>5</v>
      </c>
      <c r="D86" s="7" t="s">
        <v>40</v>
      </c>
      <c r="E86" s="7"/>
      <c r="F86" s="7">
        <v>219</v>
      </c>
      <c r="G86" s="9"/>
    </row>
    <row r="87" spans="1:7" x14ac:dyDescent="0.25">
      <c r="A87" s="8" t="s">
        <v>129</v>
      </c>
      <c r="B87" s="6" t="s">
        <v>119</v>
      </c>
      <c r="C87" s="7" t="s">
        <v>2</v>
      </c>
      <c r="D87" s="7" t="s">
        <v>40</v>
      </c>
      <c r="E87" s="7"/>
      <c r="F87" s="7">
        <v>219</v>
      </c>
      <c r="G87" s="8"/>
    </row>
    <row r="88" spans="1:7" x14ac:dyDescent="0.25">
      <c r="A88" s="8" t="s">
        <v>129</v>
      </c>
      <c r="B88" s="6" t="s">
        <v>123</v>
      </c>
      <c r="C88" s="7" t="s">
        <v>1</v>
      </c>
      <c r="D88" s="7" t="s">
        <v>39</v>
      </c>
      <c r="E88" s="7"/>
      <c r="F88" s="7">
        <v>221</v>
      </c>
      <c r="G88" s="8"/>
    </row>
    <row r="89" spans="1:7" x14ac:dyDescent="0.25">
      <c r="A89" s="8" t="s">
        <v>129</v>
      </c>
      <c r="B89" s="6" t="s">
        <v>129</v>
      </c>
      <c r="C89" s="7" t="s">
        <v>1</v>
      </c>
      <c r="D89" s="7" t="s">
        <v>40</v>
      </c>
      <c r="E89" s="7"/>
      <c r="F89" s="7">
        <v>222</v>
      </c>
      <c r="G89" s="9"/>
    </row>
    <row r="90" spans="1:7" x14ac:dyDescent="0.25">
      <c r="A90" s="8" t="s">
        <v>129</v>
      </c>
      <c r="B90" s="6" t="s">
        <v>147</v>
      </c>
      <c r="C90" s="7" t="s">
        <v>2</v>
      </c>
      <c r="D90" s="7" t="s">
        <v>40</v>
      </c>
      <c r="E90" s="7"/>
      <c r="F90" s="7">
        <v>226</v>
      </c>
      <c r="G90" s="8"/>
    </row>
    <row r="91" spans="1:7" x14ac:dyDescent="0.25">
      <c r="A91" s="8" t="s">
        <v>54</v>
      </c>
      <c r="B91" s="6" t="s">
        <v>151</v>
      </c>
      <c r="C91" s="7" t="s">
        <v>1</v>
      </c>
      <c r="D91" s="7" t="s">
        <v>40</v>
      </c>
      <c r="E91" s="7"/>
      <c r="F91" s="7">
        <v>180</v>
      </c>
      <c r="G91" s="8"/>
    </row>
    <row r="92" spans="1:7" x14ac:dyDescent="0.25">
      <c r="A92" s="8" t="s">
        <v>54</v>
      </c>
      <c r="B92" s="6" t="s">
        <v>162</v>
      </c>
      <c r="C92" s="7" t="s">
        <v>2</v>
      </c>
      <c r="D92" s="7" t="s">
        <v>39</v>
      </c>
      <c r="E92" s="7"/>
      <c r="F92" s="7">
        <v>220</v>
      </c>
      <c r="G92" s="8"/>
    </row>
    <row r="93" spans="1:7" x14ac:dyDescent="0.25">
      <c r="A93" s="8" t="s">
        <v>170</v>
      </c>
      <c r="B93" s="6" t="s">
        <v>56</v>
      </c>
      <c r="C93" s="7" t="s">
        <v>1</v>
      </c>
      <c r="D93" s="7" t="s">
        <v>40</v>
      </c>
      <c r="E93" s="7"/>
      <c r="F93" s="7">
        <v>208</v>
      </c>
      <c r="G93" s="9"/>
    </row>
    <row r="94" spans="1:7" x14ac:dyDescent="0.25">
      <c r="A94" s="8" t="s">
        <v>170</v>
      </c>
      <c r="B94" s="6" t="s">
        <v>58</v>
      </c>
      <c r="C94" s="7" t="s">
        <v>1</v>
      </c>
      <c r="D94" s="7" t="s">
        <v>39</v>
      </c>
      <c r="E94" s="7"/>
      <c r="F94" s="7">
        <v>180</v>
      </c>
      <c r="G94" s="8"/>
    </row>
    <row r="95" spans="1:7" x14ac:dyDescent="0.25">
      <c r="A95" s="8" t="s">
        <v>170</v>
      </c>
      <c r="B95" s="6" t="s">
        <v>61</v>
      </c>
      <c r="C95" s="7" t="s">
        <v>1</v>
      </c>
      <c r="D95" s="7" t="s">
        <v>40</v>
      </c>
      <c r="E95" s="7"/>
      <c r="F95" s="7">
        <v>181</v>
      </c>
      <c r="G95" s="8"/>
    </row>
    <row r="96" spans="1:7" x14ac:dyDescent="0.25">
      <c r="A96" s="8" t="s">
        <v>170</v>
      </c>
      <c r="B96" s="6" t="s">
        <v>62</v>
      </c>
      <c r="C96" s="7" t="s">
        <v>1</v>
      </c>
      <c r="D96" s="7" t="s">
        <v>40</v>
      </c>
      <c r="E96" s="7"/>
      <c r="F96" s="7">
        <v>182</v>
      </c>
      <c r="G96" s="9"/>
    </row>
    <row r="97" spans="1:7" x14ac:dyDescent="0.25">
      <c r="A97" s="8" t="s">
        <v>170</v>
      </c>
      <c r="B97" s="6" t="s">
        <v>63</v>
      </c>
      <c r="C97" s="7" t="s">
        <v>1</v>
      </c>
      <c r="D97" s="7" t="s">
        <v>40</v>
      </c>
      <c r="E97" s="7"/>
      <c r="F97" s="7">
        <v>182</v>
      </c>
      <c r="G97" s="9"/>
    </row>
    <row r="98" spans="1:7" x14ac:dyDescent="0.25">
      <c r="A98" s="8" t="s">
        <v>170</v>
      </c>
      <c r="B98" s="6" t="s">
        <v>64</v>
      </c>
      <c r="C98" s="7" t="s">
        <v>1</v>
      </c>
      <c r="D98" s="7" t="s">
        <v>41</v>
      </c>
      <c r="E98" s="7"/>
      <c r="F98" s="7">
        <v>182</v>
      </c>
      <c r="G98" s="9"/>
    </row>
    <row r="99" spans="1:7" x14ac:dyDescent="0.25">
      <c r="A99" s="8" t="s">
        <v>170</v>
      </c>
      <c r="B99" s="6" t="s">
        <v>66</v>
      </c>
      <c r="C99" s="7" t="s">
        <v>1</v>
      </c>
      <c r="D99" s="7" t="s">
        <v>40</v>
      </c>
      <c r="E99" s="7"/>
      <c r="F99" s="7">
        <v>208</v>
      </c>
      <c r="G99" s="9"/>
    </row>
    <row r="100" spans="1:7" x14ac:dyDescent="0.25">
      <c r="A100" s="8" t="s">
        <v>170</v>
      </c>
      <c r="B100" s="6" t="s">
        <v>70</v>
      </c>
      <c r="C100" s="7" t="s">
        <v>1</v>
      </c>
      <c r="D100" s="7" t="s">
        <v>40</v>
      </c>
      <c r="E100" s="7"/>
      <c r="F100" s="7">
        <v>184</v>
      </c>
      <c r="G100" s="8"/>
    </row>
    <row r="101" spans="1:7" x14ac:dyDescent="0.25">
      <c r="A101" s="8" t="s">
        <v>170</v>
      </c>
      <c r="B101" s="6" t="s">
        <v>72</v>
      </c>
      <c r="C101" s="7" t="s">
        <v>1</v>
      </c>
      <c r="D101" s="7" t="s">
        <v>41</v>
      </c>
      <c r="E101" s="7"/>
      <c r="F101" s="7">
        <v>186</v>
      </c>
      <c r="G101" s="9"/>
    </row>
    <row r="102" spans="1:7" x14ac:dyDescent="0.25">
      <c r="A102" s="8" t="s">
        <v>170</v>
      </c>
      <c r="B102" s="6" t="s">
        <v>81</v>
      </c>
      <c r="C102" s="7" t="s">
        <v>1</v>
      </c>
      <c r="D102" s="7" t="s">
        <v>39</v>
      </c>
      <c r="E102" s="7"/>
      <c r="F102" s="7">
        <v>208</v>
      </c>
      <c r="G102" s="8"/>
    </row>
    <row r="103" spans="1:7" x14ac:dyDescent="0.25">
      <c r="A103" s="8" t="s">
        <v>170</v>
      </c>
      <c r="B103" s="6" t="s">
        <v>84</v>
      </c>
      <c r="C103" s="7" t="s">
        <v>1</v>
      </c>
      <c r="D103" s="7" t="s">
        <v>41</v>
      </c>
      <c r="E103" s="7"/>
      <c r="F103" s="7">
        <v>197</v>
      </c>
      <c r="G103" s="8"/>
    </row>
    <row r="104" spans="1:7" x14ac:dyDescent="0.25">
      <c r="A104" s="8" t="s">
        <v>170</v>
      </c>
      <c r="B104" s="6" t="s">
        <v>155</v>
      </c>
      <c r="C104" s="7" t="s">
        <v>1</v>
      </c>
      <c r="D104" s="7" t="s">
        <v>41</v>
      </c>
      <c r="E104" s="7"/>
      <c r="F104" s="7">
        <v>198</v>
      </c>
      <c r="G104" s="8"/>
    </row>
    <row r="105" spans="1:7" x14ac:dyDescent="0.25">
      <c r="A105" s="8" t="s">
        <v>170</v>
      </c>
      <c r="B105" s="6" t="s">
        <v>156</v>
      </c>
      <c r="C105" s="7" t="s">
        <v>1</v>
      </c>
      <c r="D105" s="7" t="s">
        <v>41</v>
      </c>
      <c r="E105" s="7"/>
      <c r="F105" s="7">
        <v>198</v>
      </c>
      <c r="G105" s="9"/>
    </row>
    <row r="106" spans="1:7" x14ac:dyDescent="0.25">
      <c r="A106" s="8" t="s">
        <v>170</v>
      </c>
      <c r="B106" s="6" t="s">
        <v>89</v>
      </c>
      <c r="C106" s="7" t="s">
        <v>1</v>
      </c>
      <c r="D106" s="7" t="s">
        <v>40</v>
      </c>
      <c r="E106" s="7"/>
      <c r="F106" s="7">
        <v>208</v>
      </c>
      <c r="G106" s="8"/>
    </row>
    <row r="107" spans="1:7" x14ac:dyDescent="0.25">
      <c r="A107" s="8" t="s">
        <v>170</v>
      </c>
      <c r="B107" s="6" t="s">
        <v>90</v>
      </c>
      <c r="C107" s="7" t="s">
        <v>1</v>
      </c>
      <c r="D107" s="7" t="s">
        <v>39</v>
      </c>
      <c r="E107" s="7"/>
      <c r="F107" s="7">
        <v>203</v>
      </c>
      <c r="G107" s="9"/>
    </row>
    <row r="108" spans="1:7" x14ac:dyDescent="0.25">
      <c r="A108" s="8" t="s">
        <v>170</v>
      </c>
      <c r="B108" s="6" t="s">
        <v>92</v>
      </c>
      <c r="C108" s="7" t="s">
        <v>1</v>
      </c>
      <c r="D108" s="7" t="s">
        <v>39</v>
      </c>
      <c r="E108" s="7"/>
      <c r="F108" s="7">
        <v>203</v>
      </c>
      <c r="G108" s="9"/>
    </row>
    <row r="109" spans="1:7" x14ac:dyDescent="0.25">
      <c r="A109" s="8" t="s">
        <v>170</v>
      </c>
      <c r="B109" s="6" t="s">
        <v>93</v>
      </c>
      <c r="C109" s="7" t="s">
        <v>1</v>
      </c>
      <c r="D109" s="7" t="s">
        <v>41</v>
      </c>
      <c r="E109" s="7"/>
      <c r="F109" s="7">
        <v>208</v>
      </c>
      <c r="G109" s="9"/>
    </row>
    <row r="110" spans="1:7" x14ac:dyDescent="0.25">
      <c r="A110" s="8" t="s">
        <v>170</v>
      </c>
      <c r="B110" s="6" t="s">
        <v>94</v>
      </c>
      <c r="C110" s="7" t="s">
        <v>1</v>
      </c>
      <c r="D110" s="7" t="s">
        <v>40</v>
      </c>
      <c r="E110" s="7"/>
      <c r="F110" s="7">
        <v>204</v>
      </c>
      <c r="G110" s="8"/>
    </row>
    <row r="111" spans="1:7" x14ac:dyDescent="0.25">
      <c r="A111" s="8" t="s">
        <v>170</v>
      </c>
      <c r="B111" s="6" t="s">
        <v>95</v>
      </c>
      <c r="C111" s="7" t="s">
        <v>1</v>
      </c>
      <c r="D111" s="7" t="s">
        <v>40</v>
      </c>
      <c r="E111" s="7"/>
      <c r="F111" s="7">
        <v>204</v>
      </c>
      <c r="G111" s="8"/>
    </row>
    <row r="112" spans="1:7" x14ac:dyDescent="0.25">
      <c r="A112" s="8" t="s">
        <v>170</v>
      </c>
      <c r="B112" s="6" t="s">
        <v>101</v>
      </c>
      <c r="C112" s="7" t="s">
        <v>1</v>
      </c>
      <c r="D112" s="7" t="s">
        <v>40</v>
      </c>
      <c r="E112" s="7"/>
      <c r="F112" s="7">
        <v>208</v>
      </c>
      <c r="G112" s="8"/>
    </row>
    <row r="113" spans="1:7" x14ac:dyDescent="0.25">
      <c r="A113" s="8" t="s">
        <v>170</v>
      </c>
      <c r="B113" s="6" t="s">
        <v>105</v>
      </c>
      <c r="C113" s="7" t="s">
        <v>1</v>
      </c>
      <c r="D113" s="7" t="s">
        <v>39</v>
      </c>
      <c r="E113" s="7"/>
      <c r="F113" s="7">
        <v>211</v>
      </c>
      <c r="G113" s="8"/>
    </row>
    <row r="114" spans="1:7" x14ac:dyDescent="0.25">
      <c r="A114" s="8" t="s">
        <v>170</v>
      </c>
      <c r="B114" s="6" t="s">
        <v>109</v>
      </c>
      <c r="C114" s="7" t="s">
        <v>1</v>
      </c>
      <c r="D114" s="7" t="s">
        <v>40</v>
      </c>
      <c r="E114" s="7"/>
      <c r="F114" s="7">
        <v>208</v>
      </c>
      <c r="G114" s="8"/>
    </row>
    <row r="115" spans="1:7" x14ac:dyDescent="0.25">
      <c r="A115" s="8" t="s">
        <v>170</v>
      </c>
      <c r="B115" s="6" t="s">
        <v>114</v>
      </c>
      <c r="C115" s="7" t="s">
        <v>1</v>
      </c>
      <c r="D115" s="7" t="s">
        <v>40</v>
      </c>
      <c r="E115" s="7"/>
      <c r="F115" s="7">
        <v>208</v>
      </c>
      <c r="G115" s="8"/>
    </row>
    <row r="116" spans="1:7" x14ac:dyDescent="0.25">
      <c r="A116" s="8" t="s">
        <v>170</v>
      </c>
      <c r="B116" s="6" t="s">
        <v>116</v>
      </c>
      <c r="C116" s="7" t="s">
        <v>1</v>
      </c>
      <c r="D116" s="7" t="s">
        <v>40</v>
      </c>
      <c r="E116" s="7"/>
      <c r="F116" s="7">
        <v>208</v>
      </c>
      <c r="G116" s="8"/>
    </row>
    <row r="117" spans="1:7" x14ac:dyDescent="0.25">
      <c r="A117" s="8" t="s">
        <v>170</v>
      </c>
      <c r="B117" s="6" t="s">
        <v>161</v>
      </c>
      <c r="C117" s="7" t="s">
        <v>1</v>
      </c>
      <c r="D117" s="7" t="s">
        <v>41</v>
      </c>
      <c r="E117" s="7"/>
      <c r="F117" s="7">
        <v>220</v>
      </c>
      <c r="G117" s="8"/>
    </row>
    <row r="118" spans="1:7" x14ac:dyDescent="0.25">
      <c r="A118" s="8" t="s">
        <v>170</v>
      </c>
      <c r="B118" s="6" t="s">
        <v>120</v>
      </c>
      <c r="C118" s="7" t="s">
        <v>1</v>
      </c>
      <c r="D118" s="7" t="s">
        <v>40</v>
      </c>
      <c r="E118" s="7"/>
      <c r="F118" s="7">
        <v>209</v>
      </c>
      <c r="G118" s="9"/>
    </row>
    <row r="119" spans="1:7" x14ac:dyDescent="0.25">
      <c r="A119" s="8" t="s">
        <v>170</v>
      </c>
      <c r="B119" s="6" t="s">
        <v>124</v>
      </c>
      <c r="C119" s="7" t="s">
        <v>1</v>
      </c>
      <c r="D119" s="7" t="s">
        <v>39</v>
      </c>
      <c r="E119" s="7"/>
      <c r="F119" s="7">
        <v>221</v>
      </c>
      <c r="G119" s="8"/>
    </row>
    <row r="120" spans="1:7" x14ac:dyDescent="0.25">
      <c r="A120" s="8" t="s">
        <v>170</v>
      </c>
      <c r="B120" s="6" t="s">
        <v>125</v>
      </c>
      <c r="C120" s="7" t="s">
        <v>1</v>
      </c>
      <c r="D120" s="7" t="s">
        <v>40</v>
      </c>
      <c r="E120" s="7"/>
      <c r="F120" s="7">
        <v>208</v>
      </c>
      <c r="G120" s="8"/>
    </row>
    <row r="121" spans="1:7" x14ac:dyDescent="0.25">
      <c r="A121" s="8" t="s">
        <v>170</v>
      </c>
      <c r="B121" s="6" t="s">
        <v>126</v>
      </c>
      <c r="C121" s="7" t="s">
        <v>1</v>
      </c>
      <c r="D121" s="7" t="s">
        <v>40</v>
      </c>
      <c r="E121" s="7"/>
      <c r="F121" s="7">
        <v>208</v>
      </c>
      <c r="G121" s="8"/>
    </row>
    <row r="122" spans="1:7" x14ac:dyDescent="0.25">
      <c r="A122" s="8" t="s">
        <v>170</v>
      </c>
      <c r="B122" s="6" t="s">
        <v>127</v>
      </c>
      <c r="C122" s="7" t="s">
        <v>1</v>
      </c>
      <c r="D122" s="7" t="s">
        <v>40</v>
      </c>
      <c r="E122" s="7"/>
      <c r="F122" s="7">
        <v>222</v>
      </c>
      <c r="G122" s="8"/>
    </row>
    <row r="123" spans="1:7" x14ac:dyDescent="0.25">
      <c r="A123" s="8" t="s">
        <v>170</v>
      </c>
      <c r="B123" s="6" t="s">
        <v>128</v>
      </c>
      <c r="C123" s="7" t="s">
        <v>1</v>
      </c>
      <c r="D123" s="7" t="s">
        <v>40</v>
      </c>
      <c r="E123" s="7"/>
      <c r="F123" s="7">
        <v>208</v>
      </c>
      <c r="G123" s="9"/>
    </row>
    <row r="124" spans="1:7" x14ac:dyDescent="0.25">
      <c r="A124" s="8" t="s">
        <v>170</v>
      </c>
      <c r="B124" s="6" t="s">
        <v>132</v>
      </c>
      <c r="C124" s="7" t="s">
        <v>1</v>
      </c>
      <c r="D124" s="7" t="s">
        <v>40</v>
      </c>
      <c r="E124" s="7"/>
      <c r="F124" s="7">
        <v>226</v>
      </c>
      <c r="G124" s="9"/>
    </row>
    <row r="125" spans="1:7" x14ac:dyDescent="0.25">
      <c r="A125" s="8" t="s">
        <v>170</v>
      </c>
      <c r="B125" s="6" t="s">
        <v>164</v>
      </c>
      <c r="C125" s="7" t="s">
        <v>1</v>
      </c>
      <c r="D125" s="7" t="s">
        <v>41</v>
      </c>
      <c r="E125" s="7"/>
      <c r="F125" s="7">
        <v>226</v>
      </c>
      <c r="G125" s="8"/>
    </row>
    <row r="126" spans="1:7" x14ac:dyDescent="0.25">
      <c r="A126" s="8" t="s">
        <v>170</v>
      </c>
      <c r="B126" s="6" t="s">
        <v>133</v>
      </c>
      <c r="C126" s="7" t="s">
        <v>1</v>
      </c>
      <c r="D126" s="7" t="s">
        <v>40</v>
      </c>
      <c r="E126" s="7"/>
      <c r="F126" s="7">
        <v>209</v>
      </c>
      <c r="G126" s="8"/>
    </row>
    <row r="127" spans="1:7" x14ac:dyDescent="0.25">
      <c r="A127" s="8" t="s">
        <v>170</v>
      </c>
      <c r="B127" s="6" t="s">
        <v>135</v>
      </c>
      <c r="C127" s="7" t="s">
        <v>1</v>
      </c>
      <c r="D127" s="7" t="s">
        <v>40</v>
      </c>
      <c r="E127" s="7"/>
      <c r="F127" s="7">
        <v>208</v>
      </c>
      <c r="G127" s="8"/>
    </row>
    <row r="128" spans="1:7" x14ac:dyDescent="0.25">
      <c r="A128" s="8" t="s">
        <v>170</v>
      </c>
      <c r="B128" s="6" t="s">
        <v>136</v>
      </c>
      <c r="C128" s="7" t="s">
        <v>1</v>
      </c>
      <c r="D128" s="7" t="s">
        <v>39</v>
      </c>
      <c r="E128" s="7"/>
      <c r="F128" s="7">
        <v>208</v>
      </c>
      <c r="G128" s="8"/>
    </row>
    <row r="129" spans="1:7" x14ac:dyDescent="0.25">
      <c r="A129" s="8" t="s">
        <v>170</v>
      </c>
      <c r="B129" s="6" t="s">
        <v>137</v>
      </c>
      <c r="C129" s="7" t="s">
        <v>1</v>
      </c>
      <c r="D129" s="7" t="s">
        <v>40</v>
      </c>
      <c r="E129" s="7"/>
      <c r="F129" s="7">
        <v>209</v>
      </c>
      <c r="G129" s="8"/>
    </row>
    <row r="130" spans="1:7" x14ac:dyDescent="0.25">
      <c r="A130" s="8" t="s">
        <v>170</v>
      </c>
      <c r="B130" s="6" t="s">
        <v>139</v>
      </c>
      <c r="C130" s="7" t="s">
        <v>1</v>
      </c>
      <c r="D130" s="7" t="s">
        <v>40</v>
      </c>
      <c r="E130" s="7"/>
      <c r="F130" s="7">
        <v>209</v>
      </c>
      <c r="G130" s="8"/>
    </row>
    <row r="131" spans="1:7" x14ac:dyDescent="0.25">
      <c r="A131" s="8" t="s">
        <v>170</v>
      </c>
      <c r="B131" s="6" t="s">
        <v>140</v>
      </c>
      <c r="C131" s="7" t="s">
        <v>1</v>
      </c>
      <c r="D131" s="7" t="s">
        <v>40</v>
      </c>
      <c r="E131" s="7"/>
      <c r="F131" s="7">
        <v>228</v>
      </c>
      <c r="G131" s="9"/>
    </row>
  </sheetData>
  <autoFilter ref="B2:G2" xr:uid="{3337CEBE-4A55-4591-8E8F-79325CC4C67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Character</vt:lpstr>
      <vt:lpstr>Skills</vt:lpstr>
      <vt:lpstr>Talents</vt:lpstr>
      <vt:lpstr>Advantages</vt:lpstr>
      <vt:lpstr>Disadvantages</vt:lpstr>
      <vt:lpstr>Sheet1</vt:lpstr>
      <vt:lpstr>Costs</vt:lpstr>
      <vt:lpstr>Skills_data</vt:lpstr>
      <vt:lpstr>Basic_Lift</vt:lpstr>
      <vt:lpstr>Basic_Move</vt:lpstr>
      <vt:lpstr>Basic_Speed</vt:lpstr>
      <vt:lpstr>Damage_Table</vt:lpstr>
      <vt:lpstr>DX</vt:lpstr>
      <vt:lpstr>FP</vt:lpstr>
      <vt:lpstr>HP</vt:lpstr>
      <vt:lpstr>HT</vt:lpstr>
      <vt:lpstr>IQ</vt:lpstr>
      <vt:lpstr>Per</vt:lpstr>
      <vt:lpstr>Skill_Difficulty</vt:lpstr>
      <vt:lpstr>Skill_Points</vt:lpstr>
      <vt:lpstr>ST</vt:lpstr>
      <vt:lpstr>Will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Wijbrandus</dc:creator>
  <cp:lastModifiedBy>Sean Wijbrandus</cp:lastModifiedBy>
  <cp:lastPrinted>2017-12-24T05:09:47Z</cp:lastPrinted>
  <dcterms:created xsi:type="dcterms:W3CDTF">2017-12-12T18:15:06Z</dcterms:created>
  <dcterms:modified xsi:type="dcterms:W3CDTF">2018-01-16T18:42:36Z</dcterms:modified>
</cp:coreProperties>
</file>